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720" tabRatio="808" activeTab="0"/>
  </bookViews>
  <sheets>
    <sheet name="Instructions" sheetId="1" r:id="rId1"/>
    <sheet name="Treatment Requirements" sheetId="2" r:id="rId2"/>
    <sheet name="WQF" sheetId="3" r:id="rId3"/>
    <sheet name="WQV" sheetId="4" r:id="rId4"/>
    <sheet name="Manufactured Systems" sheetId="5" r:id="rId5"/>
    <sheet name="Veg. Filter Strip" sheetId="6" r:id="rId6"/>
    <sheet name="VBF" sheetId="7" r:id="rId7"/>
    <sheet name="Extended Detention" sheetId="8" r:id="rId8"/>
    <sheet name="Bioretention" sheetId="9" r:id="rId9"/>
    <sheet name="Infiltration Trench" sheetId="10" r:id="rId10"/>
    <sheet name="Infiltration Basin" sheetId="11" r:id="rId11"/>
    <sheet name="Fig. 1115-3 Intensity" sheetId="12" r:id="rId12"/>
    <sheet name="Cell Validation" sheetId="13" r:id="rId13"/>
  </sheets>
  <definedNames>
    <definedName name="BMPs">'Cell Validation'!$F$3:$F$14</definedName>
    <definedName name="DetentionRetention">'Cell Validation'!$H$3:$H$4</definedName>
    <definedName name="_xlnm.Print_Area" localSheetId="8">'Bioretention'!$A$1:$D$29</definedName>
    <definedName name="_xlnm.Print_Area" localSheetId="7">'Extended Detention'!$A$1:$D$40</definedName>
    <definedName name="_xlnm.Print_Area" localSheetId="10">'Infiltration Basin'!$A$1:$F$30</definedName>
    <definedName name="_xlnm.Print_Area" localSheetId="9">'Infiltration Trench'!$A$1:$F$27</definedName>
    <definedName name="_xlnm.Print_Area" localSheetId="4">'Manufactured Systems'!$A$1:$F$20</definedName>
    <definedName name="_xlnm.Print_Area" localSheetId="1">'Treatment Requirements'!$A$1:$D$43</definedName>
    <definedName name="_xlnm.Print_Area" localSheetId="6">'VBF'!$A$1:$Q$30</definedName>
    <definedName name="_xlnm.Print_Area" localSheetId="5">'Veg. Filter Strip'!$A$1:$M$25</definedName>
    <definedName name="_xlnm.Print_Area" localSheetId="2">'WQF'!$A$1:$C$50</definedName>
    <definedName name="_xlnm.Print_Area" localSheetId="3">'WQV'!$A$1:$C$55</definedName>
    <definedName name="Side">'Cell Validation'!$I$3:$I$5</definedName>
    <definedName name="SystemType">'Cell Validation'!$G$3:$G$6</definedName>
    <definedName name="TOC">'Cell Validation'!$E$3:$E$55</definedName>
    <definedName name="WQFBMPType">'Cell Validation'!$D$3:$D$5</definedName>
    <definedName name="YesNo">'Cell Validation'!$B$3:$B$4</definedName>
    <definedName name="YesNoNA">'Cell Validation'!$C$3:$C$5</definedName>
  </definedNames>
  <calcPr fullCalcOnLoad="1"/>
</workbook>
</file>

<file path=xl/sharedStrings.xml><?xml version="1.0" encoding="utf-8"?>
<sst xmlns="http://schemas.openxmlformats.org/spreadsheetml/2006/main" count="784" uniqueCount="421">
  <si>
    <t>A1</t>
  </si>
  <si>
    <t>A2</t>
  </si>
  <si>
    <t>A3</t>
  </si>
  <si>
    <t>Route</t>
  </si>
  <si>
    <t>Begin Station</t>
  </si>
  <si>
    <t>End Station</t>
  </si>
  <si>
    <t>Drainage Area #</t>
  </si>
  <si>
    <t>Side</t>
  </si>
  <si>
    <t>Yes</t>
  </si>
  <si>
    <t>No</t>
  </si>
  <si>
    <t>Vegetated Biofilter</t>
  </si>
  <si>
    <t>Bioretention Cell</t>
  </si>
  <si>
    <t>Infiltration Trench</t>
  </si>
  <si>
    <t>Input:</t>
  </si>
  <si>
    <t>General</t>
  </si>
  <si>
    <t>Drainage Maps:</t>
  </si>
  <si>
    <t>VBF - Vegetated Biofilter</t>
  </si>
  <si>
    <t>Manufactured Systems</t>
  </si>
  <si>
    <t xml:space="preserve">Input data into the appropriate yellow cells. </t>
  </si>
  <si>
    <t>Drainage and Impervious Area Maps:</t>
  </si>
  <si>
    <t>Infiltration Basin</t>
  </si>
  <si>
    <t>Furnish bypass or overflow for the design check discharge.</t>
  </si>
  <si>
    <t>Yellow: Requires Input (See instructions tab)</t>
  </si>
  <si>
    <t>Notes:</t>
  </si>
  <si>
    <r>
      <t>WQ</t>
    </r>
    <r>
      <rPr>
        <b/>
        <vertAlign val="subscript"/>
        <sz val="10"/>
        <rFont val="Arial"/>
        <family val="2"/>
      </rPr>
      <t>F</t>
    </r>
    <r>
      <rPr>
        <b/>
        <sz val="10"/>
        <rFont val="Arial"/>
        <family val="2"/>
      </rPr>
      <t xml:space="preserve"> (cfs)</t>
    </r>
  </si>
  <si>
    <t>VBF Longitudinal Slope (ft/ft)</t>
  </si>
  <si>
    <t>Flow Area (sf)</t>
  </si>
  <si>
    <t>Wetted P (ft)</t>
  </si>
  <si>
    <t>Hydraulic Radius (ft)</t>
  </si>
  <si>
    <t>Flow Rate (cfs)</t>
  </si>
  <si>
    <t>Flow Rate Check</t>
  </si>
  <si>
    <t>Velocity (ft/sec)</t>
  </si>
  <si>
    <t>Velocity Check</t>
  </si>
  <si>
    <t>Calculation Check</t>
  </si>
  <si>
    <t>Calculating Normal Depth in a Trapezoidal Channel (Knowing Flow Rate)</t>
  </si>
  <si>
    <t>Manning's Equation</t>
  </si>
  <si>
    <t>Bisection Method</t>
  </si>
  <si>
    <t>Q=(1.49/N)*A*R^(2/3)*(So)^(1/2)</t>
  </si>
  <si>
    <t>Q cfs</t>
  </si>
  <si>
    <t>flow rate</t>
  </si>
  <si>
    <t>Rearrange Manning's Equation.  When the equation equals zero, the guessed depth is correct.</t>
  </si>
  <si>
    <t>So ft/ft</t>
  </si>
  <si>
    <t>slope</t>
  </si>
  <si>
    <t>(Q*N)/(1.49*So^(1/2)) - A*R^(2/3) = 0</t>
  </si>
  <si>
    <t>N</t>
  </si>
  <si>
    <t>Manning's Roughness</t>
  </si>
  <si>
    <t>Choose the next depth based on the bisection result.</t>
  </si>
  <si>
    <t>Bisect the low and high guesses.</t>
  </si>
  <si>
    <t>B ft</t>
  </si>
  <si>
    <t>Bottom Width</t>
  </si>
  <si>
    <t>Low Guess</t>
  </si>
  <si>
    <t>High Guess</t>
  </si>
  <si>
    <t>Next Guess</t>
  </si>
  <si>
    <t>Z1</t>
  </si>
  <si>
    <t>Fore Slope (Z:1)</t>
  </si>
  <si>
    <t>Depth</t>
  </si>
  <si>
    <t>Function</t>
  </si>
  <si>
    <t>Area</t>
  </si>
  <si>
    <t>Wet. Perim.</t>
  </si>
  <si>
    <t>HydRad</t>
  </si>
  <si>
    <t>Z2</t>
  </si>
  <si>
    <t>Back Slope (Z:1)</t>
  </si>
  <si>
    <t>ft</t>
  </si>
  <si>
    <t>SF</t>
  </si>
  <si>
    <t>Q</t>
  </si>
  <si>
    <t>So</t>
  </si>
  <si>
    <t>B</t>
  </si>
  <si>
    <t>Xl</t>
  </si>
  <si>
    <t>FXl</t>
  </si>
  <si>
    <t>Xu</t>
  </si>
  <si>
    <t>Xr</t>
  </si>
  <si>
    <t>FXr</t>
  </si>
  <si>
    <t>Normal Depth</t>
  </si>
  <si>
    <t>feet</t>
  </si>
  <si>
    <t>inches</t>
  </si>
  <si>
    <t>BMP Design Considerations</t>
  </si>
  <si>
    <t>Is the VBF a trapezoidal ditch with a flat bottom, not a radius ditch?</t>
  </si>
  <si>
    <t>Is the VBF width at least 4 feet?</t>
  </si>
  <si>
    <t>Does each VBF include Item 670, Ditch Erosion Protection?</t>
  </si>
  <si>
    <t>Are the station ranges and locations of the VBFs labeled on the Project Site Plan drawing?</t>
  </si>
  <si>
    <t>VBF Fore Slope (z:1)</t>
  </si>
  <si>
    <t>VBF Back Slope (z:1)</t>
  </si>
  <si>
    <t>For standard ditch design, see L&amp;D Vol. 1, Section 307.3 and L&amp;D Vol. 2, Section 1102.</t>
  </si>
  <si>
    <t>The Enhanced Bankfull Width (EBW) should be whole numbers only, no half-foot increments.  The minimum EBW is 4 feet. (L&amp;D Vol. 2, Section 1117.2.2)</t>
  </si>
  <si>
    <t>(The Solution is at the Bottom-Right)</t>
  </si>
  <si>
    <t>Solution</t>
  </si>
  <si>
    <r>
      <t>Is the depth of runoff for the WQ</t>
    </r>
    <r>
      <rPr>
        <vertAlign val="subscript"/>
        <sz val="10"/>
        <color indexed="8"/>
        <rFont val="Arial"/>
        <family val="2"/>
      </rPr>
      <t>F</t>
    </r>
    <r>
      <rPr>
        <sz val="10"/>
        <color indexed="8"/>
        <rFont val="Arial"/>
        <family val="2"/>
      </rPr>
      <t xml:space="preserve"> for each VBF less than or equal to 4 inches?</t>
    </r>
  </si>
  <si>
    <r>
      <t>Is the velocity of runoff for the WQ</t>
    </r>
    <r>
      <rPr>
        <vertAlign val="subscript"/>
        <sz val="10"/>
        <color indexed="8"/>
        <rFont val="Arial"/>
        <family val="2"/>
      </rPr>
      <t>F</t>
    </r>
    <r>
      <rPr>
        <sz val="10"/>
        <color indexed="8"/>
        <rFont val="Arial"/>
        <family val="2"/>
      </rPr>
      <t xml:space="preserve"> for each VBF less than or equal to 1.0 ft/sec?</t>
    </r>
  </si>
  <si>
    <t xml:space="preserve">         ^^^ Note:  The value in this cell should be zero for the spreadsheet to be correctly calculating the normal depth.</t>
  </si>
  <si>
    <t>For Manning's Roughness Coefficient, use 0.15 for flow within the depth of grass (4 inches).</t>
  </si>
  <si>
    <t>L&amp;D Volume 2, Section 1115.6.1:  "consider all area within existing right-of-way to be impervious with a runoff coefficient of 0.90 when performing post-construction BMP calculations.</t>
  </si>
  <si>
    <t>A4</t>
  </si>
  <si>
    <t>A5</t>
  </si>
  <si>
    <r>
      <t>WQ</t>
    </r>
    <r>
      <rPr>
        <b/>
        <vertAlign val="subscript"/>
        <sz val="10"/>
        <rFont val="Arial"/>
        <family val="2"/>
      </rPr>
      <t>V</t>
    </r>
    <r>
      <rPr>
        <b/>
        <sz val="10"/>
        <rFont val="Arial"/>
        <family val="2"/>
      </rPr>
      <t xml:space="preserve">
(ac-ft)</t>
    </r>
  </si>
  <si>
    <t>Total Tributary Area
(acres)</t>
  </si>
  <si>
    <t>Impervious fraction (i)</t>
  </si>
  <si>
    <t>L&amp;D Volume 2, Section 1101.2.3:  Use Table 1101-2 (referenced below) or engineering judgment to determine the Coefficient of Runoff (C)</t>
  </si>
  <si>
    <t>Total Area Treated by Manufactured Systems (within the right-of-way)</t>
  </si>
  <si>
    <t>(Treatment is for quality only, not quantity)</t>
  </si>
  <si>
    <t>acres</t>
  </si>
  <si>
    <t>Tributary Area within R/W
(acres)</t>
  </si>
  <si>
    <t>Project EDA</t>
  </si>
  <si>
    <t>Units</t>
  </si>
  <si>
    <t>BMPs Required?</t>
  </si>
  <si>
    <t>NA</t>
  </si>
  <si>
    <t>Does Entire Site Drain to Large River (&gt;100 sq. miles)?</t>
  </si>
  <si>
    <t>Water Quality Treatment Required</t>
  </si>
  <si>
    <t>Water Quantity Treatment Required</t>
  </si>
  <si>
    <t>Ain (New Impervious Area in New Permanent R/W)</t>
  </si>
  <si>
    <t>T% (Treatment Percent)</t>
  </si>
  <si>
    <t>%</t>
  </si>
  <si>
    <t>BMPs Provided</t>
  </si>
  <si>
    <t>BMP Type</t>
  </si>
  <si>
    <t>Contributing Drainage Area (acres)</t>
  </si>
  <si>
    <t>Contributing Drainage Area in ODOT R/W (acres)</t>
  </si>
  <si>
    <t>BMP6</t>
  </si>
  <si>
    <t>BMP7</t>
  </si>
  <si>
    <t>BMP8</t>
  </si>
  <si>
    <t>BMP9</t>
  </si>
  <si>
    <t>BMP10</t>
  </si>
  <si>
    <t>Treatment Provided</t>
  </si>
  <si>
    <t>Treatment Check</t>
  </si>
  <si>
    <t>Is the Project Routine Maintenance per L&amp;D Vol. 2, Sec. 1112.2</t>
  </si>
  <si>
    <t>Yes/No</t>
  </si>
  <si>
    <t>Manufactured System</t>
  </si>
  <si>
    <t>Vegetated Filter Strip</t>
  </si>
  <si>
    <t>Extended Detention Basin</t>
  </si>
  <si>
    <t>Underground Detention</t>
  </si>
  <si>
    <t>Retention Basin</t>
  </si>
  <si>
    <t>Other</t>
  </si>
  <si>
    <t>Notes</t>
  </si>
  <si>
    <t>If more than one acre of new impervious area is added in new right-of-way and only a portion of the project drains to a large river, the portion that does not drain to a large river must still treat water quantity.</t>
  </si>
  <si>
    <t>T% = [(Aix * 20)+(Ain * 100)] / (Aix+Ain)</t>
  </si>
  <si>
    <t>Value input above</t>
  </si>
  <si>
    <t>Treatment Required = Project EDA * T%</t>
  </si>
  <si>
    <t>Treatment Requirement</t>
  </si>
  <si>
    <t>Treatment Percent and Treatment Requirement</t>
  </si>
  <si>
    <t>Treatment Requirements</t>
  </si>
  <si>
    <t>Not all worksheets will need to be used; however, the "Treatment Requirements" worksheet is applicable to all projects.  Only calculations for the BMPs implemented in the plans are required.  Constructed wetlands, extended detention and retention basins are typically evaluated with the use of hydraulic software packages.</t>
  </si>
  <si>
    <t>The Treatment Requirements Worksheet includes an assessment of what type of post construction treatment is required (quality only or quality and quantity), calculation of treatment percent, determination of the area within the right-of-way that requires treatment, and space for the user to input the various BMPs planned for the project.  This worksheet should be used to assess the overall project treatment requirements with the overall project treatment provided given all of the planned post construction BMPs.</t>
  </si>
  <si>
    <t>Input the values into the yellow cells.  Read the notes in the worksheet next to the input cells in order to correctly input values.
After BMPs have been selected, input each tributary area and tributary area within the right-of-way into the worksheet to confirm that project treatment requirements are met.</t>
  </si>
  <si>
    <t>Without mapping to identify the existing impervious area, new impervious area, and BMP tributary area, this information cannot be verified.  Please include mapping with any calculation.</t>
  </si>
  <si>
    <t>Existing/New Impervious Area and Tributary Area Maps:</t>
  </si>
  <si>
    <t>Without mapping to identify areas, the information cannot be verified.  Please include mapping showing tributary area as well as delineated land use for each BMP with any calculation.</t>
  </si>
  <si>
    <r>
      <t>WQ</t>
    </r>
    <r>
      <rPr>
        <b/>
        <vertAlign val="subscript"/>
        <sz val="12"/>
        <rFont val="Arial"/>
        <family val="2"/>
      </rPr>
      <t>V</t>
    </r>
    <r>
      <rPr>
        <b/>
        <sz val="12"/>
        <rFont val="Arial"/>
        <family val="2"/>
      </rPr>
      <t xml:space="preserve"> - Water Quality Volume</t>
    </r>
  </si>
  <si>
    <t>Without mapping to identify areas, the information cannot be verified.  Please include mapping of all areas identified in the worksheet for each BMP with any calculation.</t>
  </si>
  <si>
    <t>For calculation of the normal depth and associated velocity with a given flow rate and channel geometry, the worksheet below may be referenced, or a different calculation method may be used.</t>
  </si>
  <si>
    <t>BMP Submittal Requirements (Per L&amp;D, Vol. 2, Sec. 1116.2)</t>
  </si>
  <si>
    <t>Det. #1</t>
  </si>
  <si>
    <t>Extended Detention</t>
  </si>
  <si>
    <t>Tributary Area within the R/W
(acres)</t>
  </si>
  <si>
    <t>(Treatment is for quality and quantity)</t>
  </si>
  <si>
    <t>Extended Detention #1</t>
  </si>
  <si>
    <t>Detention or Retention</t>
  </si>
  <si>
    <t>Detention</t>
  </si>
  <si>
    <t>Extended Detention Type</t>
  </si>
  <si>
    <t>Retention</t>
  </si>
  <si>
    <r>
      <t>WQ</t>
    </r>
    <r>
      <rPr>
        <vertAlign val="subscript"/>
        <sz val="10"/>
        <rFont val="Arial"/>
        <family val="2"/>
      </rPr>
      <t>V</t>
    </r>
    <r>
      <rPr>
        <sz val="10"/>
        <rFont val="Arial"/>
        <family val="2"/>
      </rPr>
      <t xml:space="preserve"> (ac-ft)</t>
    </r>
  </si>
  <si>
    <t>Design Forebay Volume (ac-ft)</t>
  </si>
  <si>
    <t>Design Micropool Volume (ac-ft)</t>
  </si>
  <si>
    <t>Design Permanent Pond Vol. (ac-ft)</t>
  </si>
  <si>
    <t>Calculation</t>
  </si>
  <si>
    <t>By Rule</t>
  </si>
  <si>
    <t>Values</t>
  </si>
  <si>
    <t>Notes / Checks</t>
  </si>
  <si>
    <t>Detention Basin Notes:</t>
  </si>
  <si>
    <t>Answer</t>
  </si>
  <si>
    <t>Design Check</t>
  </si>
  <si>
    <t xml:space="preserve">Is the only contributing drainage to the filter strip from the road and shoulder? </t>
  </si>
  <si>
    <t>Does any concentrated flow or any outlets discharge to the filter strip?</t>
  </si>
  <si>
    <t>Filter Strip #1</t>
  </si>
  <si>
    <t>Filter Strip #2</t>
  </si>
  <si>
    <t>Filter Strip #3</t>
  </si>
  <si>
    <t>Filter Strip #4</t>
  </si>
  <si>
    <t>Filter Strip #5</t>
  </si>
  <si>
    <t>Filter Strip #6</t>
  </si>
  <si>
    <t>Filter Strip #7</t>
  </si>
  <si>
    <t>Filter Strip #8</t>
  </si>
  <si>
    <t>Filter Strip #9</t>
  </si>
  <si>
    <t>Filter Strip #10</t>
  </si>
  <si>
    <t>Is the slope 6:1 or flatter for 35 - 48 ft pavement drainage width</t>
  </si>
  <si>
    <t>Is Item 670, Slope Erosion Protection, included for the filter strip?</t>
  </si>
  <si>
    <t>Bio. #1</t>
  </si>
  <si>
    <t>Bio. #2</t>
  </si>
  <si>
    <t>Bio. #3</t>
  </si>
  <si>
    <t>Bio. #4</t>
  </si>
  <si>
    <t>Bio. #5</t>
  </si>
  <si>
    <t>The contributing area from within the right-of-way must be specified. Treatment credit is only applied to the portion of contributing area from within the right-of-way.  Offsite area must be included in BMP calculations. (L&amp;D Vol. 2, Section 1115.7)</t>
  </si>
  <si>
    <r>
      <t>Impervious Tributary Area</t>
    </r>
    <r>
      <rPr>
        <b/>
        <vertAlign val="superscript"/>
        <sz val="10"/>
        <rFont val="Arial"/>
        <family val="2"/>
      </rPr>
      <t>1</t>
    </r>
    <r>
      <rPr>
        <b/>
        <sz val="10"/>
        <rFont val="Arial"/>
        <family val="2"/>
      </rPr>
      <t xml:space="preserve">
(acres)</t>
    </r>
  </si>
  <si>
    <t>Yes/No/NA</t>
  </si>
  <si>
    <t>The Vegetated Filter Strip worksheet adds up the areas draining to multiple filter strips.</t>
  </si>
  <si>
    <t>Input data into the appropriate yellow cells.  Notes have been provided to help understand appropriate inputs.</t>
  </si>
  <si>
    <t>Input data into the appropriate yellow cells.  Notes have been provided to help understand appropriate inputs. Calculation checks have been provided in the green highlighted cells.</t>
  </si>
  <si>
    <t>The Bioretention worksheet determines the minimum area of a bioretention cell.</t>
  </si>
  <si>
    <t>Porosity</t>
  </si>
  <si>
    <t>Drain Time
(hr)</t>
  </si>
  <si>
    <t>Minimum area of the bottom of the trench (SF)</t>
  </si>
  <si>
    <r>
      <t>WQ</t>
    </r>
    <r>
      <rPr>
        <b/>
        <vertAlign val="subscript"/>
        <sz val="10"/>
        <rFont val="Arial"/>
        <family val="2"/>
      </rPr>
      <t>V</t>
    </r>
    <r>
      <rPr>
        <b/>
        <sz val="10"/>
        <rFont val="Arial"/>
        <family val="2"/>
      </rPr>
      <t xml:space="preserve"> 
(cu.ft.)</t>
    </r>
  </si>
  <si>
    <t>Infiltration Trench Notes:</t>
  </si>
  <si>
    <t xml:space="preserve">Minimum area is calculated following the criteria in the Ohio Department of Natural Resources' Rainwater and Land Development Manual </t>
  </si>
  <si>
    <t>Vegetated pretreatment is required for infiltration trenches.</t>
  </si>
  <si>
    <t>The infiltration rate, measured in the field, must be between 0.50 in/hr and 2.4 in/hr to utilize infiltration practices.</t>
  </si>
  <si>
    <t>Safety Factor</t>
  </si>
  <si>
    <r>
      <t>L&amp;D Volume 2, Section 1117.6.2:  Minimum area at the bottom of infiltration basin:  A = (WQ</t>
    </r>
    <r>
      <rPr>
        <vertAlign val="subscript"/>
        <sz val="10"/>
        <rFont val="Arial"/>
        <family val="2"/>
      </rPr>
      <t>V</t>
    </r>
    <r>
      <rPr>
        <sz val="10"/>
        <rFont val="Arial"/>
        <family val="2"/>
      </rPr>
      <t xml:space="preserve"> * S.F. * 12)/(k * t)</t>
    </r>
  </si>
  <si>
    <t>Infiltration Basin Notes:</t>
  </si>
  <si>
    <t>Vegetated pretreatment is required for infiltration basins.</t>
  </si>
  <si>
    <t>The Infiltration Trench worksheet determines the required area based on the water quality volume for the infiltration trench.</t>
  </si>
  <si>
    <t>The Infiltration Basin worksheet determines the required area based on the water quality volume for the infiltration basin.  The bypass for the design check discharge is calculated separately.</t>
  </si>
  <si>
    <t>Input data into the appropriate yellow cells.  Notes have been provided to help understand appropriate inputs.  The bypass for the design check discharge is calculated separately.</t>
  </si>
  <si>
    <t>Constructed Wetland</t>
  </si>
  <si>
    <t>There is no worksheet provided for Constructed Wetland design.  The designer may use the Extended Detention worksheet along with the requirements in L&amp;D Vol. 2, Sec. 1117.7.</t>
  </si>
  <si>
    <t>Note:  The filter strip width should be measured along the vegetated slope beginning at the vegetation and ending at the inside edge of the ditch bottom.</t>
  </si>
  <si>
    <t>Do the VBF characteristics match the calculated flow and velocity checks using Manning's Equation above?</t>
  </si>
  <si>
    <t>Inputs</t>
  </si>
  <si>
    <t>Automatic Calculations</t>
  </si>
  <si>
    <t>Automatic Checks</t>
  </si>
  <si>
    <t>Input data into the appropriate yellow cells.</t>
  </si>
  <si>
    <t>Do not input data into blue calculation cells</t>
  </si>
  <si>
    <t>Do not input data into green calculation check cells.</t>
  </si>
  <si>
    <t>Minimum Bioretention Cell Surface Area
(acres)</t>
  </si>
  <si>
    <t>Note:  Contributing drainage area from crown of pavement to downstream edge of filter strip</t>
  </si>
  <si>
    <t>Stream Grade Control</t>
  </si>
  <si>
    <t>RT</t>
  </si>
  <si>
    <t>C</t>
  </si>
  <si>
    <t>right</t>
  </si>
  <si>
    <t>left</t>
  </si>
  <si>
    <t>center</t>
  </si>
  <si>
    <t>Item 659 Topsoil Volume (CY)</t>
  </si>
  <si>
    <t>Item 670 Erosion Protection Area (SY)</t>
  </si>
  <si>
    <t>Is the slope 3:1 or flatter for 34 ft or narrower pavement drainage width</t>
  </si>
  <si>
    <t>Note:  Item 659, Topsoil, must be shown in the plans for all vegetated filter strips.</t>
  </si>
  <si>
    <t>Note:  The volume equation for topsoil associated with vegetated filter strips assumes one 4" lift of topsoil.</t>
  </si>
  <si>
    <t>Note:  The area equation for erosion control mat assumes the same area as the topsoil.</t>
  </si>
  <si>
    <t>Filter Strip Length (FT)</t>
  </si>
  <si>
    <t>Pavement Width (FT)</t>
  </si>
  <si>
    <t>Filter Strip Width (FT)</t>
  </si>
  <si>
    <t>1. Is the stage/storage table and graph provided?</t>
  </si>
  <si>
    <t>2. Are all detention basin outlets shown in detail?</t>
  </si>
  <si>
    <t>3. Is a drawdown hydrograph provided?</t>
  </si>
  <si>
    <t>4. Has a summary of all input and output into a basin routing software been provided?</t>
  </si>
  <si>
    <t>5. Is scour protection provided at inlets and outlets?</t>
  </si>
  <si>
    <t>6. Have detention basin overflow structures (catch basin and overflow weir) been sized appropriately?</t>
  </si>
  <si>
    <t>7. Has tailwater been considered?</t>
  </si>
  <si>
    <t>8. Is the detention basin located outside of any FEMA designated floodplains?</t>
  </si>
  <si>
    <t>9. Are the limits of Item 670, Slope Erosion Protection, shown on the plans?</t>
  </si>
  <si>
    <t>10. Are anti-seep collars included in the plans?</t>
  </si>
  <si>
    <t>11. Has maintenance access been considered?</t>
  </si>
  <si>
    <t>12. Have safety concerns been considered and addressed?</t>
  </si>
  <si>
    <t>Extended Detention Basin / Retention Basin</t>
  </si>
  <si>
    <t>Drop Down List</t>
  </si>
  <si>
    <t>Bioretention Cell Surface Area Designed (acres)</t>
  </si>
  <si>
    <t>Meets Design?</t>
  </si>
  <si>
    <t>1. Has pretreatment been provided per L&amp;D Vol. 2, Sec. 1117.5?</t>
  </si>
  <si>
    <t>3. Has an overflow been provided 12 inches above the bioretention cell surface?</t>
  </si>
  <si>
    <t>4. Has the overflow been sized to convey the design check storm?</t>
  </si>
  <si>
    <t>5. Is the bioretention cell cross section designed per L&amp;D Vol. 2, Sec. 1117.5.3.G and Figure 1117-8?</t>
  </si>
  <si>
    <t>6. Is temporary erosion control mat, Item 671 provided over the bioretention cell?</t>
  </si>
  <si>
    <t>Is the min. filter strip width 15-25 ft wide depending on L&amp;D Table 1117-3?</t>
  </si>
  <si>
    <t>Required Manufactured System Type</t>
  </si>
  <si>
    <t>Manufactured System Type Provided</t>
  </si>
  <si>
    <t>1. Does the Water Quality flow rate match the system type in L&amp;D Table 1117-1?</t>
  </si>
  <si>
    <t>2. Is the Water Quality flow rate greater than 6 cfs including all contributing area?</t>
  </si>
  <si>
    <t>3. Is the manufactured system located under a traffic lane?</t>
  </si>
  <si>
    <t>4. Is the storm sewer draining to the manufactured system deeper than 10 feet?</t>
  </si>
  <si>
    <t>5. Is there clear maintenance access to the manufactured system?</t>
  </si>
  <si>
    <t>Filter Strip</t>
  </si>
  <si>
    <t>Filter Strip Area (SF)</t>
  </si>
  <si>
    <t>Coefficient of Runoff (C)</t>
  </si>
  <si>
    <t>Total Tributary Area</t>
  </si>
  <si>
    <t>Tributary Area within Existing R/W</t>
  </si>
  <si>
    <t>Impervious Trib. Area Outside Existing R/W</t>
  </si>
  <si>
    <t>Tributary Area Land Use #3</t>
  </si>
  <si>
    <t>Tributary Area Land Use #4</t>
  </si>
  <si>
    <t>cfs</t>
  </si>
  <si>
    <t>Drainage Area #1</t>
  </si>
  <si>
    <t>Drainage Area #2</t>
  </si>
  <si>
    <t>Drainage Area #3</t>
  </si>
  <si>
    <t>Drainage Area #4</t>
  </si>
  <si>
    <t>Area (acres)</t>
  </si>
  <si>
    <t>Pervious Trib. Area Outside Existing R/W</t>
  </si>
  <si>
    <t>Impervious Tributary Area</t>
  </si>
  <si>
    <t>fraction</t>
  </si>
  <si>
    <t>ac-ft</t>
  </si>
  <si>
    <r>
      <t>WQ</t>
    </r>
    <r>
      <rPr>
        <b/>
        <vertAlign val="subscript"/>
        <sz val="10"/>
        <rFont val="Arial"/>
        <family val="2"/>
      </rPr>
      <t>V</t>
    </r>
  </si>
  <si>
    <t>Precipitation (P)</t>
  </si>
  <si>
    <t>Intensity, i (in/hr)</t>
  </si>
  <si>
    <t>Does each VBF include 4" of Item 659 Topsoil on the vegetated portion of the shoulder and foreslope?</t>
  </si>
  <si>
    <t>Is 4" of Item 659, Topsoil, included for the filter strip?</t>
  </si>
  <si>
    <t>IR 70</t>
  </si>
  <si>
    <t>LT</t>
  </si>
  <si>
    <t>Drainage Area (acres)</t>
  </si>
  <si>
    <t>VBF</t>
  </si>
  <si>
    <t>Total Drainage Area (acres)</t>
  </si>
  <si>
    <t>VBF#1</t>
  </si>
  <si>
    <t>VBF#3</t>
  </si>
  <si>
    <t>VBF#5</t>
  </si>
  <si>
    <t>VBF#2</t>
  </si>
  <si>
    <t>VBF#4</t>
  </si>
  <si>
    <t>VBF#6</t>
  </si>
  <si>
    <t>VBF#7</t>
  </si>
  <si>
    <t>VBF#8</t>
  </si>
  <si>
    <t>VBF#9</t>
  </si>
  <si>
    <t>VBF#10</t>
  </si>
  <si>
    <t>Analysis Results</t>
  </si>
  <si>
    <t>Hydrology</t>
  </si>
  <si>
    <t>Location Information</t>
  </si>
  <si>
    <t>Channel Characteristics</t>
  </si>
  <si>
    <t>Filter Strip Slope (z:1)</t>
  </si>
  <si>
    <t>EDA treatment credit is only given to area within ODOT right-of-way.  Treatment credit is only given to areas within the project limits that sheet flow off of the roadway into a grassed shoulder, grassed foreslope, and then into a grassed trapezoidal ditch sized appropriately. (L&amp;D Vol. 2, Section 1117.2.2)</t>
  </si>
  <si>
    <r>
      <t>EDA Treatment Credit (acres)</t>
    </r>
    <r>
      <rPr>
        <b/>
        <vertAlign val="superscript"/>
        <sz val="10"/>
        <rFont val="Arial"/>
        <family val="2"/>
      </rPr>
      <t>1</t>
    </r>
  </si>
  <si>
    <r>
      <t>VBF Bottom Width (ft)</t>
    </r>
    <r>
      <rPr>
        <b/>
        <vertAlign val="superscript"/>
        <sz val="10"/>
        <rFont val="Arial"/>
        <family val="2"/>
      </rPr>
      <t>note2</t>
    </r>
  </si>
  <si>
    <r>
      <t>Manning's Roughness Coefficient</t>
    </r>
    <r>
      <rPr>
        <b/>
        <vertAlign val="superscript"/>
        <sz val="10"/>
        <rFont val="Arial"/>
        <family val="2"/>
      </rPr>
      <t>3</t>
    </r>
  </si>
  <si>
    <r>
      <t>Depth of Runoff at WQ</t>
    </r>
    <r>
      <rPr>
        <b/>
        <vertAlign val="subscript"/>
        <sz val="10"/>
        <rFont val="Arial"/>
        <family val="2"/>
      </rPr>
      <t>F</t>
    </r>
    <r>
      <rPr>
        <b/>
        <sz val="10"/>
        <rFont val="Arial"/>
        <family val="2"/>
      </rPr>
      <t xml:space="preserve"> (inches)</t>
    </r>
    <r>
      <rPr>
        <b/>
        <vertAlign val="superscript"/>
        <sz val="10"/>
        <rFont val="Arial"/>
        <family val="2"/>
      </rPr>
      <t>4</t>
    </r>
  </si>
  <si>
    <r>
      <t>Velocity of Runoff at WQ</t>
    </r>
    <r>
      <rPr>
        <b/>
        <vertAlign val="subscript"/>
        <sz val="10"/>
        <rFont val="Arial"/>
        <family val="2"/>
      </rPr>
      <t>F</t>
    </r>
    <r>
      <rPr>
        <b/>
        <sz val="10"/>
        <rFont val="Arial"/>
        <family val="2"/>
      </rPr>
      <t xml:space="preserve"> (ft/sec)</t>
    </r>
    <r>
      <rPr>
        <b/>
        <vertAlign val="superscript"/>
        <sz val="10"/>
        <rFont val="Arial"/>
        <family val="2"/>
      </rPr>
      <t>4</t>
    </r>
  </si>
  <si>
    <r>
      <t>Standard Ditch Width (feet)</t>
    </r>
    <r>
      <rPr>
        <b/>
        <vertAlign val="superscript"/>
        <sz val="10"/>
        <rFont val="Arial"/>
        <family val="2"/>
      </rPr>
      <t>5</t>
    </r>
  </si>
  <si>
    <t>Required Ditch Width (feet)</t>
  </si>
  <si>
    <t>Total Treatment Credit Earned from Vegetated Filter Strips</t>
  </si>
  <si>
    <t>Total Treatment Credit Earned from VBFs (within R/W):</t>
  </si>
  <si>
    <r>
      <t>Total Treatment Credit Earned from Extended Detention (within R/W):</t>
    </r>
    <r>
      <rPr>
        <b/>
        <vertAlign val="superscript"/>
        <sz val="10"/>
        <rFont val="Arial"/>
        <family val="2"/>
      </rPr>
      <t>1</t>
    </r>
  </si>
  <si>
    <r>
      <t>Total Treatment Credit Earned from Bioretention (within R/W):</t>
    </r>
    <r>
      <rPr>
        <b/>
        <vertAlign val="superscript"/>
        <sz val="10"/>
        <rFont val="Arial"/>
        <family val="2"/>
      </rPr>
      <t>2</t>
    </r>
  </si>
  <si>
    <r>
      <t>The Extended Detention worksheet determines  the WQ</t>
    </r>
    <r>
      <rPr>
        <vertAlign val="subscript"/>
        <sz val="10"/>
        <rFont val="Arial"/>
        <family val="2"/>
      </rPr>
      <t>V</t>
    </r>
    <r>
      <rPr>
        <sz val="10"/>
        <rFont val="Arial"/>
        <family val="2"/>
      </rPr>
      <t xml:space="preserve"> and documents key design criteria.  Pond routing software is normally used to assess necessary drawdown requirements.  This worksheet can be used for extended detention basins, retention basins, underground detention, an constructed wetlands.</t>
    </r>
  </si>
  <si>
    <t>Total Treatment Credit Earned from Infiltration Trench (within R/W):</t>
  </si>
  <si>
    <t>Inf. #1</t>
  </si>
  <si>
    <t>Inf. #2</t>
  </si>
  <si>
    <t>Inf. #3</t>
  </si>
  <si>
    <t>Inf. #4</t>
  </si>
  <si>
    <t>Inf. #5</t>
  </si>
  <si>
    <t>Exfiltration Rate into Insitu Soil
(in/hr)</t>
  </si>
  <si>
    <t>Infiltration Trench Bottom Area Designed (SF)</t>
  </si>
  <si>
    <t>Man. System Type</t>
  </si>
  <si>
    <t>Aix (Project EDA that is inside the existing right-of-way)</t>
  </si>
  <si>
    <t>Ain (New Impervious Area in New Permanent R/W</t>
  </si>
  <si>
    <t>1. Has the rate at which water will exfiltrate into the soil beneath the trench been measured in the field?</t>
  </si>
  <si>
    <t>2, Has vegetated pretreatment been provided?</t>
  </si>
  <si>
    <t>BMP Name</t>
  </si>
  <si>
    <t>Minimum area of the bottom of the basin (acres)</t>
  </si>
  <si>
    <t>Infiltration Basin Bottom Area Designed (acres)</t>
  </si>
  <si>
    <t>Total Treatment Credit Earned from Infiltration Basin (within R/W):</t>
  </si>
  <si>
    <t>1. Has the rate at which water will exfiltrate into the soil beneath the basin been measured in the field?</t>
  </si>
  <si>
    <t>4. Has a bypass been designed to pass the overflow?</t>
  </si>
  <si>
    <t>5. Has Item 670, Slope Erosion Protection, been included?</t>
  </si>
  <si>
    <t>6. Is the basin located at least 1,000 feet from any municipal water supply and at least 100 feet from any private well, septic tank, or drain field?</t>
  </si>
  <si>
    <t>7. Has an energy dissipater been included at the inlet?</t>
  </si>
  <si>
    <t>4. Is the trench located at least 1,000 feet from any municipal water supply and at least 100 feet from any private well, septic tank, or drain field?</t>
  </si>
  <si>
    <t>Note:  Item 670, Slope Erosion Protection, must be shown in the plans for all vegetated filter strips.</t>
  </si>
  <si>
    <t>Does the "Total Drainage Area" include all onsite and off-site drainage to the VBF?</t>
  </si>
  <si>
    <t>FXu</t>
  </si>
  <si>
    <r>
      <t>Both the forebay and micropool in a detention basin must each equal at least 10% of the WQ</t>
    </r>
    <r>
      <rPr>
        <vertAlign val="subscript"/>
        <sz val="10"/>
        <rFont val="Arial"/>
        <family val="2"/>
      </rPr>
      <t>V</t>
    </r>
    <r>
      <rPr>
        <sz val="10"/>
        <rFont val="Arial"/>
        <family val="2"/>
      </rPr>
      <t>.  The 10% from the forebay plus the 10% from the micropool adds 20% to the WQ</t>
    </r>
    <r>
      <rPr>
        <vertAlign val="subscript"/>
        <sz val="10"/>
        <rFont val="Arial"/>
        <family val="2"/>
      </rPr>
      <t>V</t>
    </r>
    <r>
      <rPr>
        <sz val="10"/>
        <rFont val="Arial"/>
        <family val="2"/>
      </rPr>
      <t>.  Forebays and micropools are not required for retention basins.</t>
    </r>
  </si>
  <si>
    <t>Project Data</t>
  </si>
  <si>
    <t>1. Estimated Project Earth Disturbed Area</t>
  </si>
  <si>
    <t>2. Treatment Percent Calculation</t>
  </si>
  <si>
    <t>3. BMP Selected for use</t>
  </si>
  <si>
    <t>4. Drainage area mapping for post-construction BMPs that show the total contributing drainage area and the amount of contributing area within ODOT right-of-way</t>
  </si>
  <si>
    <t>5. Plan sheets showing locations of post-construction BMP</t>
  </si>
  <si>
    <t>6. Calculations for each BMP</t>
  </si>
  <si>
    <t>7. Explanation for any area that is not treated</t>
  </si>
  <si>
    <t>Total Area with ODOT R/W Treated (acres)</t>
  </si>
  <si>
    <t>Treatment Requirements (acres)</t>
  </si>
  <si>
    <t>VFS1</t>
  </si>
  <si>
    <t>VFS2</t>
  </si>
  <si>
    <t>VFS3</t>
  </si>
  <si>
    <t>VBF1</t>
  </si>
  <si>
    <t>VBF2</t>
  </si>
  <si>
    <t>Post Construction - Project Summary</t>
  </si>
  <si>
    <t>"Ain is the new impervious area inside new permanent right-of-way minus any impervious area that is removed inside new permanent right-of-way."</t>
  </si>
  <si>
    <t>"consider all area within existing right-of-way to be impervious when performing post-construction BMP calculations."</t>
  </si>
  <si>
    <t>"Credit for water quality and water quantity treatment is only applied to the portion of the contributing drainage area within ODOT right-of-way (on-site).  Any offside contributing area must be included in the BMP calculations for sizing purposes (i.e. width of ditch etc.).  However, the offside area will not be included in the treatment credit.</t>
  </si>
  <si>
    <t>L&amp;D Volume 2, Section 1115.5.2:  The rainfall intensity to use for design of vegetated biofilters is i = 0.65 in/hr.</t>
  </si>
  <si>
    <t>WQF BMP Type</t>
  </si>
  <si>
    <r>
      <t>Water Quality Flow Rate (WQ</t>
    </r>
    <r>
      <rPr>
        <b/>
        <vertAlign val="subscript"/>
        <sz val="14"/>
        <rFont val="Arial"/>
        <family val="2"/>
      </rPr>
      <t>F</t>
    </r>
    <r>
      <rPr>
        <b/>
        <sz val="14"/>
        <rFont val="Arial"/>
        <family val="2"/>
      </rPr>
      <t>)</t>
    </r>
  </si>
  <si>
    <r>
      <t>Water Quality Volume (WQ</t>
    </r>
    <r>
      <rPr>
        <b/>
        <vertAlign val="subscript"/>
        <sz val="14"/>
        <rFont val="Arial"/>
        <family val="2"/>
      </rPr>
      <t>V</t>
    </r>
    <r>
      <rPr>
        <b/>
        <sz val="14"/>
        <rFont val="Arial"/>
        <family val="2"/>
      </rPr>
      <t>)</t>
    </r>
  </si>
  <si>
    <t>Time of Concentration (minutes)</t>
  </si>
  <si>
    <t>TOC</t>
  </si>
  <si>
    <r>
      <t>DURATION</t>
    </r>
    <r>
      <rPr>
        <sz val="9"/>
        <rFont val="Arial"/>
        <family val="2"/>
      </rPr>
      <t xml:space="preserve"> t</t>
    </r>
    <r>
      <rPr>
        <vertAlign val="subscript"/>
        <sz val="9"/>
        <rFont val="Arial"/>
        <family val="2"/>
      </rPr>
      <t>c</t>
    </r>
  </si>
  <si>
    <r>
      <t>(</t>
    </r>
    <r>
      <rPr>
        <sz val="9"/>
        <rFont val="Arial"/>
        <family val="2"/>
      </rPr>
      <t>minutes</t>
    </r>
    <r>
      <rPr>
        <sz val="9"/>
        <color indexed="8"/>
        <rFont val="Arial"/>
        <family val="2"/>
      </rPr>
      <t>)</t>
    </r>
  </si>
  <si>
    <t>INTENSITY (i)</t>
  </si>
  <si>
    <r>
      <t>(in</t>
    </r>
    <r>
      <rPr>
        <sz val="9"/>
        <rFont val="Arial"/>
        <family val="2"/>
      </rPr>
      <t>ches</t>
    </r>
    <r>
      <rPr>
        <sz val="9"/>
        <color indexed="8"/>
        <rFont val="Arial"/>
        <family val="2"/>
      </rPr>
      <t>/h</t>
    </r>
    <r>
      <rPr>
        <sz val="9"/>
        <rFont val="Arial"/>
        <family val="2"/>
      </rPr>
      <t>ou</t>
    </r>
    <r>
      <rPr>
        <sz val="9"/>
        <color indexed="8"/>
        <rFont val="Arial"/>
        <family val="2"/>
      </rPr>
      <t>r)</t>
    </r>
  </si>
  <si>
    <t>Duration vs. Intensity Table - Figure 1115-3</t>
  </si>
  <si>
    <r>
      <t>For Water Quality Flow (WQ</t>
    </r>
    <r>
      <rPr>
        <b/>
        <vertAlign val="subscript"/>
        <sz val="10"/>
        <rFont val="Arial"/>
        <family val="2"/>
      </rPr>
      <t>F</t>
    </r>
    <r>
      <rPr>
        <b/>
        <sz val="10"/>
        <rFont val="Arial"/>
        <family val="2"/>
      </rPr>
      <t>) Calculation for Manufactured Systems</t>
    </r>
  </si>
  <si>
    <t>The minimum time of concentration allowed is 10 minutes.</t>
  </si>
  <si>
    <r>
      <t>Use an intensity equal to 0.65 in/hr for calculation of the water quality flow (WQ</t>
    </r>
    <r>
      <rPr>
        <vertAlign val="subscript"/>
        <sz val="10"/>
        <rFont val="Arial"/>
        <family val="2"/>
      </rPr>
      <t>F</t>
    </r>
    <r>
      <rPr>
        <sz val="10"/>
        <rFont val="Arial"/>
        <family val="0"/>
      </rPr>
      <t>) for design of vegetated biofilters.</t>
    </r>
  </si>
  <si>
    <t>Plug in TOC Value</t>
  </si>
  <si>
    <t>More than 60</t>
  </si>
  <si>
    <t>L&amp;D Volume 2, Section 1117.5.3:  The rainfall intensity to use for design of bioretention cells is i = 0.65 in/hr.</t>
  </si>
  <si>
    <t>"Treat all areas within existing ODOT right-of-way as impervious with a C value of 0.90 when determining the appropriate C value."</t>
  </si>
  <si>
    <t>Time of concentration only needed for manufactured systems. (Choose 10 - 60 minutes)  If sizing WQF of vegetated biofilters or bioretention cells, use "NA."  Follow L&amp;D Volume 2, Section 1101.2.2 to determine the time of concentration.</t>
  </si>
  <si>
    <r>
      <t>WQ</t>
    </r>
    <r>
      <rPr>
        <b/>
        <vertAlign val="subscript"/>
        <sz val="12"/>
        <rFont val="Arial"/>
        <family val="2"/>
      </rPr>
      <t>F</t>
    </r>
    <r>
      <rPr>
        <b/>
        <sz val="12"/>
        <rFont val="Arial"/>
        <family val="2"/>
      </rPr>
      <t xml:space="preserve"> - Water Quality Flow</t>
    </r>
  </si>
  <si>
    <r>
      <t>The WQ</t>
    </r>
    <r>
      <rPr>
        <vertAlign val="subscript"/>
        <sz val="10"/>
        <rFont val="Arial"/>
        <family val="2"/>
      </rPr>
      <t>F</t>
    </r>
    <r>
      <rPr>
        <sz val="10"/>
        <rFont val="Arial"/>
        <family val="2"/>
      </rPr>
      <t xml:space="preserve"> - Water Quality Flow worksheet determines the water quality flow.  WQ</t>
    </r>
    <r>
      <rPr>
        <vertAlign val="subscript"/>
        <sz val="10"/>
        <rFont val="Arial"/>
        <family val="2"/>
      </rPr>
      <t>F</t>
    </r>
    <r>
      <rPr>
        <sz val="10"/>
        <rFont val="Arial"/>
        <family val="2"/>
      </rPr>
      <t xml:space="preserve"> is used for manufactured systems, vegetated biofilters, and some bioretention cells.</t>
    </r>
  </si>
  <si>
    <r>
      <t>The WQ</t>
    </r>
    <r>
      <rPr>
        <vertAlign val="subscript"/>
        <sz val="10"/>
        <rFont val="Arial"/>
        <family val="2"/>
      </rPr>
      <t>V</t>
    </r>
    <r>
      <rPr>
        <sz val="10"/>
        <rFont val="Arial"/>
        <family val="2"/>
      </rPr>
      <t xml:space="preserve"> - Water Quality Volume worksheet determines the water quality volume.  WQ</t>
    </r>
    <r>
      <rPr>
        <vertAlign val="subscript"/>
        <sz val="10"/>
        <rFont val="Arial"/>
        <family val="2"/>
      </rPr>
      <t>V</t>
    </r>
    <r>
      <rPr>
        <sz val="10"/>
        <rFont val="Arial"/>
        <family val="2"/>
      </rPr>
      <t xml:space="preserve"> is used for extended detention, retention basins, infiltration trenches, infiltration basins, constructed wetlands, and pretreatment for some bioretention cells.</t>
    </r>
  </si>
  <si>
    <t>The Manufactured System worksheet help with selection of a Manufactured System type as described in Section 1117.2.</t>
  </si>
  <si>
    <t>Input data into the appropriate yellow cells. Input the areas and water quality flow.  For BMPs receiving some area from outside of the right-of-way, indicate the area within the right-of-way to receive treatment credit.</t>
  </si>
  <si>
    <r>
      <t>Input data into the appropriate yellow cells.  Notes have been provided to help understand appropriate inputs.  It may be beneficial to complete the WQ</t>
    </r>
    <r>
      <rPr>
        <vertAlign val="subscript"/>
        <sz val="10"/>
        <rFont val="Arial"/>
        <family val="2"/>
      </rPr>
      <t>F</t>
    </r>
    <r>
      <rPr>
        <sz val="10"/>
        <rFont val="Arial"/>
        <family val="2"/>
      </rPr>
      <t xml:space="preserve"> worksheet before providing inputs into the VBF worksheet.</t>
    </r>
  </si>
  <si>
    <r>
      <t>Volumetric Runoff Coefficient (R</t>
    </r>
    <r>
      <rPr>
        <vertAlign val="subscript"/>
        <sz val="10"/>
        <rFont val="Arial"/>
        <family val="2"/>
      </rPr>
      <t>V</t>
    </r>
    <r>
      <rPr>
        <sz val="10"/>
        <rFont val="Arial"/>
        <family val="2"/>
      </rPr>
      <t>)</t>
    </r>
  </si>
  <si>
    <t>L&amp;D Volume 2, Section 1115.4:  P = 0.90 inches</t>
  </si>
  <si>
    <r>
      <t>L&amp;D Volume 2, Section 1115.4:  R</t>
    </r>
    <r>
      <rPr>
        <vertAlign val="subscript"/>
        <sz val="10"/>
        <rFont val="Arial"/>
        <family val="2"/>
      </rPr>
      <t>V</t>
    </r>
    <r>
      <rPr>
        <sz val="10"/>
        <rFont val="Arial"/>
        <family val="2"/>
      </rPr>
      <t xml:space="preserve"> = 0.05 + 0.9*i</t>
    </r>
  </si>
  <si>
    <t>L&amp;D Volume 2, Section 1115.4:  "Treat all areas within existing ODOT right-of-way as impervious when determining the impervious area within the BMP drainage area."</t>
  </si>
  <si>
    <r>
      <t>L&amp;D Volume 2, Section 1115.4:  WQ</t>
    </r>
    <r>
      <rPr>
        <vertAlign val="subscript"/>
        <sz val="10"/>
        <rFont val="Arial"/>
        <family val="2"/>
      </rPr>
      <t>V</t>
    </r>
    <r>
      <rPr>
        <sz val="10"/>
        <rFont val="Arial"/>
        <family val="2"/>
      </rPr>
      <t xml:space="preserve"> = (R</t>
    </r>
    <r>
      <rPr>
        <vertAlign val="subscript"/>
        <sz val="10"/>
        <rFont val="Arial"/>
        <family val="2"/>
      </rPr>
      <t xml:space="preserve">V </t>
    </r>
    <r>
      <rPr>
        <sz val="10"/>
        <rFont val="Arial"/>
        <family val="2"/>
      </rPr>
      <t>* P * A)/12  ;  Results in ac-ft</t>
    </r>
  </si>
  <si>
    <r>
      <t>Design Time to Drain WQ</t>
    </r>
    <r>
      <rPr>
        <vertAlign val="subscript"/>
        <sz val="10"/>
        <rFont val="Arial"/>
        <family val="2"/>
      </rPr>
      <t>V</t>
    </r>
  </si>
  <si>
    <r>
      <t>Time required to drain the WQ</t>
    </r>
    <r>
      <rPr>
        <vertAlign val="subscript"/>
        <sz val="10"/>
        <rFont val="Arial"/>
        <family val="2"/>
      </rPr>
      <t>V</t>
    </r>
    <r>
      <rPr>
        <sz val="10"/>
        <rFont val="Arial"/>
        <family val="2"/>
      </rPr>
      <t xml:space="preserve"> from down to the permanent pool.  This calculation is done by modeling a basin filled to the WQ</t>
    </r>
    <r>
      <rPr>
        <vertAlign val="subscript"/>
        <sz val="10"/>
        <rFont val="Arial"/>
        <family val="2"/>
      </rPr>
      <t>V</t>
    </r>
    <r>
      <rPr>
        <sz val="10"/>
        <rFont val="Arial"/>
        <family val="2"/>
      </rPr>
      <t xml:space="preserve"> and then "pulling the plug" by allowing water out of the water quality outlet(s).  Inflow hydrographs should not be routed into the basin for this analysis.</t>
    </r>
  </si>
  <si>
    <r>
      <t>Design Time to Drain 50% WQ</t>
    </r>
    <r>
      <rPr>
        <vertAlign val="subscript"/>
        <sz val="10"/>
        <rFont val="Arial"/>
        <family val="2"/>
      </rPr>
      <t>V</t>
    </r>
  </si>
  <si>
    <r>
      <t>50% WQ</t>
    </r>
    <r>
      <rPr>
        <vertAlign val="subscript"/>
        <sz val="10"/>
        <rFont val="Arial"/>
        <family val="2"/>
      </rPr>
      <t>V</t>
    </r>
    <r>
      <rPr>
        <sz val="10"/>
        <rFont val="Arial"/>
        <family val="2"/>
      </rPr>
      <t xml:space="preserve"> (ac-ft)</t>
    </r>
  </si>
  <si>
    <r>
      <t>Minimum WQ</t>
    </r>
    <r>
      <rPr>
        <vertAlign val="subscript"/>
        <sz val="10"/>
        <rFont val="Arial"/>
        <family val="2"/>
      </rPr>
      <t>V</t>
    </r>
    <r>
      <rPr>
        <sz val="10"/>
        <rFont val="Arial"/>
        <family val="2"/>
      </rPr>
      <t xml:space="preserve"> (ac-ft)</t>
    </r>
  </si>
  <si>
    <r>
      <t>Min. Time to Drain WQ</t>
    </r>
    <r>
      <rPr>
        <vertAlign val="subscript"/>
        <sz val="10"/>
        <rFont val="Arial"/>
        <family val="2"/>
      </rPr>
      <t>V</t>
    </r>
    <r>
      <rPr>
        <sz val="10"/>
        <rFont val="Arial"/>
        <family val="2"/>
      </rPr>
      <t xml:space="preserve"> (hrs)</t>
    </r>
    <r>
      <rPr>
        <vertAlign val="superscript"/>
        <sz val="10"/>
        <rFont val="Arial"/>
        <family val="2"/>
      </rPr>
      <t>3</t>
    </r>
  </si>
  <si>
    <r>
      <t>Min. Time to Drain 50% WQ</t>
    </r>
    <r>
      <rPr>
        <vertAlign val="subscript"/>
        <sz val="10"/>
        <rFont val="Arial"/>
        <family val="2"/>
      </rPr>
      <t>V</t>
    </r>
    <r>
      <rPr>
        <sz val="10"/>
        <rFont val="Arial"/>
        <family val="2"/>
      </rPr>
      <t xml:space="preserve"> (hrs)</t>
    </r>
    <r>
      <rPr>
        <vertAlign val="superscript"/>
        <sz val="10"/>
        <rFont val="Arial"/>
        <family val="2"/>
      </rPr>
      <t>4</t>
    </r>
  </si>
  <si>
    <r>
      <t>Min. Forebay and Micropool Vol. (ac-ft)</t>
    </r>
    <r>
      <rPr>
        <vertAlign val="superscript"/>
        <sz val="10"/>
        <rFont val="Arial"/>
        <family val="2"/>
      </rPr>
      <t>5</t>
    </r>
  </si>
  <si>
    <r>
      <t>Minimum Permanent Pond Vol. (ac-ft)</t>
    </r>
    <r>
      <rPr>
        <vertAlign val="superscript"/>
        <sz val="10"/>
        <rFont val="Arial"/>
        <family val="2"/>
      </rPr>
      <t>6</t>
    </r>
  </si>
  <si>
    <r>
      <t>The Design WQ</t>
    </r>
    <r>
      <rPr>
        <vertAlign val="subscript"/>
        <sz val="10"/>
        <rFont val="Arial"/>
        <family val="2"/>
      </rPr>
      <t>V</t>
    </r>
    <r>
      <rPr>
        <sz val="10"/>
        <rFont val="Arial"/>
        <family val="2"/>
      </rPr>
      <t xml:space="preserve"> is the volume of storage that passes through the water quality outlet(s).  This is the volume from the lowest outlet elevation to the invert of the overflow catch basin outlet.</t>
    </r>
  </si>
  <si>
    <r>
      <t>The WQ</t>
    </r>
    <r>
      <rPr>
        <vertAlign val="subscript"/>
        <sz val="10"/>
        <rFont val="Arial"/>
        <family val="2"/>
      </rPr>
      <t>V</t>
    </r>
    <r>
      <rPr>
        <sz val="10"/>
        <rFont val="Arial"/>
        <family val="2"/>
      </rPr>
      <t xml:space="preserve"> must take at least 48 hours to drain for detention basins and must take at least 24 hours to drain for retention basins.</t>
    </r>
  </si>
  <si>
    <r>
      <t>50% of the WQ</t>
    </r>
    <r>
      <rPr>
        <vertAlign val="subscript"/>
        <sz val="10"/>
        <rFont val="Arial"/>
        <family val="2"/>
      </rPr>
      <t>V</t>
    </r>
    <r>
      <rPr>
        <sz val="10"/>
        <rFont val="Arial"/>
        <family val="2"/>
      </rPr>
      <t xml:space="preserve"> may not drain quicker than in one third of the drain time.  50% of the WQ</t>
    </r>
    <r>
      <rPr>
        <vertAlign val="subscript"/>
        <sz val="10"/>
        <rFont val="Arial"/>
        <family val="2"/>
      </rPr>
      <t>V</t>
    </r>
    <r>
      <rPr>
        <sz val="10"/>
        <rFont val="Arial"/>
        <family val="2"/>
      </rPr>
      <t xml:space="preserve"> must take at least 16 hours to drain for detention basins and at least 8 hours to drain for retention basins.</t>
    </r>
  </si>
  <si>
    <r>
      <t>In a retention basin, a volume of at least 100% of the WQ</t>
    </r>
    <r>
      <rPr>
        <vertAlign val="subscript"/>
        <sz val="10"/>
        <rFont val="Arial"/>
        <family val="2"/>
      </rPr>
      <t>V</t>
    </r>
    <r>
      <rPr>
        <sz val="10"/>
        <rFont val="Arial"/>
        <family val="2"/>
      </rPr>
      <t xml:space="preserve"> must be stored at an elevation below the lowest outlet (permanently ponded).  Detention basins do not require permanent ponding outside of the forebay and micropool.</t>
    </r>
  </si>
  <si>
    <r>
      <t>2. Is the water quality flow (WQ</t>
    </r>
    <r>
      <rPr>
        <vertAlign val="subscript"/>
        <sz val="10"/>
        <color indexed="8"/>
        <rFont val="Arial"/>
        <family val="2"/>
      </rPr>
      <t>F</t>
    </r>
    <r>
      <rPr>
        <sz val="10"/>
        <color indexed="8"/>
        <rFont val="Arial"/>
        <family val="2"/>
      </rPr>
      <t>) through the bioretention cell limited to 1 foot per second?</t>
    </r>
  </si>
  <si>
    <r>
      <t>The Vegetated Biofilter worksheet determines  the normal depth and velocity of a trapezoidal ditch passing the water quality flow (WQ</t>
    </r>
    <r>
      <rPr>
        <vertAlign val="subscript"/>
        <sz val="10"/>
        <rFont val="Arial"/>
        <family val="2"/>
      </rPr>
      <t>F</t>
    </r>
    <r>
      <rPr>
        <sz val="10"/>
        <rFont val="Arial"/>
        <family val="2"/>
      </rPr>
      <t>).</t>
    </r>
  </si>
  <si>
    <t>The rainfall intensity to use in the water quality flow calculation is different for manufactured systems compared to vegetated biofilters or bioretention cells.</t>
  </si>
  <si>
    <r>
      <t>Water Quality Flow (WQ</t>
    </r>
    <r>
      <rPr>
        <b/>
        <vertAlign val="subscript"/>
        <sz val="10"/>
        <rFont val="Arial"/>
        <family val="2"/>
      </rPr>
      <t>F</t>
    </r>
    <r>
      <rPr>
        <b/>
        <sz val="10"/>
        <rFont val="Arial"/>
        <family val="2"/>
      </rPr>
      <t>)</t>
    </r>
  </si>
  <si>
    <t>L&amp;D Volume 2, Section 1115.5.1:  The rainfall intensity to use for design of manufactured systems is determined from Figure 1115-3.</t>
  </si>
  <si>
    <r>
      <t>L&amp;D Volume 2, Section 1115.5:  WQ</t>
    </r>
    <r>
      <rPr>
        <vertAlign val="subscript"/>
        <sz val="10"/>
        <rFont val="Arial"/>
        <family val="2"/>
      </rPr>
      <t>F</t>
    </r>
    <r>
      <rPr>
        <sz val="10"/>
        <rFont val="Arial"/>
        <family val="2"/>
      </rPr>
      <t xml:space="preserve"> = CiA  ;  Results in cfs</t>
    </r>
  </si>
  <si>
    <r>
      <t>WQ</t>
    </r>
    <r>
      <rPr>
        <b/>
        <vertAlign val="subscript"/>
        <sz val="10"/>
        <rFont val="Arial"/>
        <family val="2"/>
      </rPr>
      <t>F</t>
    </r>
    <r>
      <rPr>
        <b/>
        <sz val="10"/>
        <rFont val="Arial"/>
        <family val="2"/>
      </rPr>
      <t xml:space="preserve">
(cfs)</t>
    </r>
  </si>
  <si>
    <r>
      <t>Design WQ</t>
    </r>
    <r>
      <rPr>
        <vertAlign val="subscript"/>
        <sz val="10"/>
        <rFont val="Arial"/>
        <family val="2"/>
      </rPr>
      <t>V</t>
    </r>
    <r>
      <rPr>
        <sz val="10"/>
        <rFont val="Arial"/>
        <family val="2"/>
      </rPr>
      <t xml:space="preserve"> (ac-ft)</t>
    </r>
    <r>
      <rPr>
        <vertAlign val="superscript"/>
        <sz val="10"/>
        <rFont val="Arial"/>
        <family val="2"/>
      </rPr>
      <t>2</t>
    </r>
  </si>
  <si>
    <r>
      <t>3. Is the volume of the trench sufficient to hold the entire WQ</t>
    </r>
    <r>
      <rPr>
        <vertAlign val="subscript"/>
        <sz val="10"/>
        <color indexed="8"/>
        <rFont val="Arial"/>
        <family val="2"/>
      </rPr>
      <t>V</t>
    </r>
    <r>
      <rPr>
        <sz val="10"/>
        <color indexed="8"/>
        <rFont val="Arial"/>
        <family val="2"/>
      </rPr>
      <t xml:space="preserve"> within the void space of the aggregate?</t>
    </r>
  </si>
  <si>
    <r>
      <t>3. Is the volume of the basin sufficient to hold the entire WQ</t>
    </r>
    <r>
      <rPr>
        <vertAlign val="subscript"/>
        <sz val="10"/>
        <color indexed="8"/>
        <rFont val="Arial"/>
        <family val="2"/>
      </rPr>
      <t>V</t>
    </r>
    <r>
      <rPr>
        <sz val="10"/>
        <color indexed="8"/>
        <rFont val="Arial"/>
        <family val="2"/>
      </rPr>
      <t>?</t>
    </r>
  </si>
  <si>
    <r>
      <t>For a time of concentration calculated over 60 minutes, use I = 0.62 in/hr to determine the water quality flow (WQ</t>
    </r>
    <r>
      <rPr>
        <vertAlign val="subscript"/>
        <sz val="10"/>
        <rFont val="Arial"/>
        <family val="2"/>
      </rPr>
      <t>F</t>
    </r>
    <r>
      <rPr>
        <sz val="10"/>
        <rFont val="Arial"/>
        <family val="2"/>
      </rPr>
      <t>) for manufactured system sizing.</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</si>
</sst>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
    <numFmt numFmtId="166" formatCode="0.0"/>
    <numFmt numFmtId="167" formatCode="0.000"/>
    <numFmt numFmtId="168" formatCode="[$-409]dddd\,\ mmmm\ dd\,\ yyyy"/>
    <numFmt numFmtId="169" formatCode="[$-409]h:mm:ss\ AM/PM"/>
    <numFmt numFmtId="170" formatCode="0.0000"/>
    <numFmt numFmtId="171" formatCode="0.00000"/>
    <numFmt numFmtId="172" formatCode="0.000000"/>
    <numFmt numFmtId="173" formatCode="0.0%"/>
    <numFmt numFmtId="174" formatCode="0.0000000"/>
    <numFmt numFmtId="175" formatCode="0.00000000"/>
    <numFmt numFmtId="176" formatCode="#,##0.0"/>
    <numFmt numFmtId="177" formatCode="#,##0.000"/>
    <numFmt numFmtId="178" formatCode="&quot;Yes&quot;;&quot;Yes&quot;;&quot;No&quot;"/>
    <numFmt numFmtId="179" formatCode="&quot;True&quot;;&quot;True&quot;;&quot;False&quot;"/>
    <numFmt numFmtId="180" formatCode="&quot;On&quot;;&quot;On&quot;;&quot;Off&quot;"/>
    <numFmt numFmtId="181" formatCode="[$€-2]\ #,##0.00_);[Red]\([$€-2]\ #,##0.00\)"/>
  </numFmts>
  <fonts count="78">
    <font>
      <sz val="10"/>
      <name val="Arial"/>
      <family val="0"/>
    </font>
    <font>
      <b/>
      <sz val="10"/>
      <name val="Arial"/>
      <family val="2"/>
    </font>
    <font>
      <sz val="8"/>
      <name val="Arial"/>
      <family val="2"/>
    </font>
    <font>
      <sz val="10"/>
      <color indexed="10"/>
      <name val="Arial"/>
      <family val="2"/>
    </font>
    <font>
      <b/>
      <sz val="12"/>
      <name val="Arial"/>
      <family val="2"/>
    </font>
    <font>
      <b/>
      <sz val="10"/>
      <color indexed="12"/>
      <name val="Arial"/>
      <family val="2"/>
    </font>
    <font>
      <vertAlign val="superscript"/>
      <sz val="10"/>
      <name val="Arial"/>
      <family val="2"/>
    </font>
    <font>
      <b/>
      <vertAlign val="subscript"/>
      <sz val="10"/>
      <name val="Arial"/>
      <family val="2"/>
    </font>
    <font>
      <vertAlign val="subscript"/>
      <sz val="10"/>
      <name val="Arial"/>
      <family val="2"/>
    </font>
    <font>
      <sz val="9"/>
      <name val="Arial"/>
      <family val="2"/>
    </font>
    <font>
      <b/>
      <sz val="9"/>
      <name val="Arial"/>
      <family val="2"/>
    </font>
    <font>
      <b/>
      <sz val="11"/>
      <name val="Arial"/>
      <family val="2"/>
    </font>
    <font>
      <b/>
      <vertAlign val="superscript"/>
      <sz val="10"/>
      <name val="Arial"/>
      <family val="2"/>
    </font>
    <font>
      <sz val="10"/>
      <color indexed="8"/>
      <name val="Arial"/>
      <family val="2"/>
    </font>
    <font>
      <vertAlign val="subscript"/>
      <sz val="10"/>
      <color indexed="8"/>
      <name val="Arial"/>
      <family val="2"/>
    </font>
    <font>
      <b/>
      <sz val="14"/>
      <name val="Arial"/>
      <family val="2"/>
    </font>
    <font>
      <b/>
      <vertAlign val="subscript"/>
      <sz val="12"/>
      <name val="Arial"/>
      <family val="2"/>
    </font>
    <font>
      <b/>
      <vertAlign val="subscript"/>
      <sz val="14"/>
      <name val="Arial"/>
      <family val="2"/>
    </font>
    <font>
      <sz val="9"/>
      <color indexed="8"/>
      <name val="Arial"/>
      <family val="2"/>
    </font>
    <font>
      <vertAlign val="subscrip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2"/>
      <name val="Arial"/>
      <family val="2"/>
    </font>
    <font>
      <b/>
      <sz val="9"/>
      <color indexed="12"/>
      <name val="Arial"/>
      <family val="2"/>
    </font>
    <font>
      <sz val="9"/>
      <color indexed="10"/>
      <name val="Arial"/>
      <family val="2"/>
    </font>
    <font>
      <b/>
      <sz val="10"/>
      <color indexed="8"/>
      <name val="Arial"/>
      <family val="2"/>
    </font>
    <font>
      <sz val="10"/>
      <color indexed="12"/>
      <name val="Arial"/>
      <family val="2"/>
    </font>
    <font>
      <b/>
      <sz val="10"/>
      <color indexed="10"/>
      <name val="Arial"/>
      <family val="2"/>
    </font>
    <font>
      <sz val="11"/>
      <color indexed="8"/>
      <name val="Arial"/>
      <family val="2"/>
    </font>
    <font>
      <b/>
      <sz val="11"/>
      <color indexed="8"/>
      <name val="Arial"/>
      <family val="2"/>
    </font>
    <font>
      <sz val="11"/>
      <color indexed="12"/>
      <name val="Arial"/>
      <family val="2"/>
    </font>
    <font>
      <b/>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9"/>
      <color rgb="FF0000FF"/>
      <name val="Arial"/>
      <family val="2"/>
    </font>
    <font>
      <b/>
      <sz val="9"/>
      <color rgb="FF0000FF"/>
      <name val="Arial"/>
      <family val="2"/>
    </font>
    <font>
      <sz val="9"/>
      <color rgb="FFFF0000"/>
      <name val="Arial"/>
      <family val="2"/>
    </font>
    <font>
      <b/>
      <sz val="10"/>
      <color theme="1"/>
      <name val="Arial"/>
      <family val="2"/>
    </font>
    <font>
      <sz val="10"/>
      <color theme="1"/>
      <name val="Arial"/>
      <family val="2"/>
    </font>
    <font>
      <sz val="10"/>
      <color rgb="FF0000FF"/>
      <name val="Arial"/>
      <family val="2"/>
    </font>
    <font>
      <b/>
      <sz val="10"/>
      <color rgb="FF0000FF"/>
      <name val="Arial"/>
      <family val="2"/>
    </font>
    <font>
      <b/>
      <sz val="10"/>
      <color rgb="FFFF0000"/>
      <name val="Arial"/>
      <family val="2"/>
    </font>
    <font>
      <sz val="11"/>
      <color theme="1"/>
      <name val="Arial"/>
      <family val="2"/>
    </font>
    <font>
      <b/>
      <sz val="11"/>
      <color theme="1"/>
      <name val="Arial"/>
      <family val="2"/>
    </font>
    <font>
      <sz val="11"/>
      <color rgb="FF0000FF"/>
      <name val="Arial"/>
      <family val="2"/>
    </font>
    <font>
      <sz val="9"/>
      <color rgb="FF000000"/>
      <name val="Arial"/>
      <family val="2"/>
    </font>
    <font>
      <b/>
      <sz val="14"/>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rgb="FF92D050"/>
        <bgColor indexed="64"/>
      </patternFill>
    </fill>
    <fill>
      <patternFill patternType="solid">
        <fgColor theme="0" tint="-0.1499900072813034"/>
        <bgColor indexed="64"/>
      </patternFill>
    </fill>
    <fill>
      <patternFill patternType="solid">
        <fgColor rgb="FFCCECFF"/>
        <bgColor indexed="64"/>
      </patternFill>
    </fill>
    <fill>
      <patternFill patternType="solid">
        <fgColor theme="0"/>
        <bgColor indexed="64"/>
      </patternFill>
    </fill>
    <fill>
      <patternFill patternType="solid">
        <fgColor rgb="FFFFFF66"/>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thin"/>
      <top style="thin"/>
      <bottom style="medium"/>
    </border>
    <border>
      <left style="thin"/>
      <right style="thin"/>
      <top style="thin"/>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medium"/>
      <right/>
      <top style="medium"/>
      <bottom/>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medium"/>
      <right/>
      <top/>
      <bottom/>
    </border>
    <border>
      <left style="medium"/>
      <right/>
      <top/>
      <bottom style="medium"/>
    </border>
    <border>
      <left style="thick"/>
      <right>
        <color indexed="63"/>
      </right>
      <top>
        <color indexed="63"/>
      </top>
      <bottom>
        <color indexed="63"/>
      </bottom>
    </border>
    <border>
      <left style="thick"/>
      <right>
        <color indexed="63"/>
      </right>
      <top>
        <color indexed="63"/>
      </top>
      <bottom style="thick"/>
    </border>
    <border>
      <left style="thick"/>
      <right>
        <color indexed="63"/>
      </right>
      <top style="thick"/>
      <bottom>
        <color indexed="63"/>
      </bottom>
    </border>
    <border>
      <left>
        <color indexed="63"/>
      </left>
      <right>
        <color indexed="63"/>
      </right>
      <top style="thick"/>
      <bottom>
        <color indexed="63"/>
      </bottom>
    </border>
    <border>
      <left style="thin"/>
      <right style="medium"/>
      <top style="thin"/>
      <bottom style="thin"/>
    </border>
    <border>
      <left style="thin"/>
      <right style="medium"/>
      <top style="thin"/>
      <bottom style="medium"/>
    </border>
    <border>
      <left style="thin"/>
      <right style="thin"/>
      <top style="thin"/>
      <bottom style="thick"/>
    </border>
    <border>
      <left>
        <color indexed="63"/>
      </left>
      <right style="thin"/>
      <top style="medium"/>
      <bottom style="double"/>
    </border>
    <border>
      <left style="medium"/>
      <right style="thin"/>
      <top style="double"/>
      <bottom style="thin"/>
    </border>
    <border>
      <left>
        <color indexed="63"/>
      </left>
      <right style="thin"/>
      <top style="double"/>
      <bottom style="thin"/>
    </border>
    <border>
      <left>
        <color indexed="63"/>
      </left>
      <right style="thin"/>
      <top>
        <color indexed="63"/>
      </top>
      <bottom style="thin"/>
    </border>
    <border>
      <left>
        <color indexed="63"/>
      </left>
      <right style="thin"/>
      <top>
        <color indexed="63"/>
      </top>
      <bottom style="medium"/>
    </border>
    <border>
      <left/>
      <right style="medium"/>
      <top style="medium"/>
      <bottom style="thin"/>
    </border>
    <border>
      <left/>
      <right style="medium"/>
      <top style="thin"/>
      <bottom style="thin"/>
    </border>
    <border>
      <left/>
      <right style="medium"/>
      <top style="thin"/>
      <bottom style="medium"/>
    </border>
    <border>
      <left style="thin"/>
      <right style="thin"/>
      <top style="double"/>
      <bottom style="thin"/>
    </border>
    <border>
      <left style="thin"/>
      <right style="thin"/>
      <top>
        <color indexed="63"/>
      </top>
      <bottom style="medium"/>
    </border>
    <border>
      <left>
        <color indexed="63"/>
      </left>
      <right style="thin"/>
      <top style="thin"/>
      <bottom style="thin"/>
    </border>
    <border>
      <left style="medium"/>
      <right style="thin"/>
      <top>
        <color indexed="63"/>
      </top>
      <bottom style="thin"/>
    </border>
    <border>
      <left style="thin"/>
      <right style="medium"/>
      <top style="double"/>
      <bottom style="thin"/>
    </border>
    <border>
      <left style="thin"/>
      <right style="medium"/>
      <top>
        <color indexed="63"/>
      </top>
      <bottom style="thin"/>
    </border>
    <border>
      <left style="thin"/>
      <right style="medium"/>
      <top>
        <color indexed="63"/>
      </top>
      <bottom style="medium"/>
    </border>
    <border>
      <left style="medium"/>
      <right style="thin"/>
      <top style="thin"/>
      <bottom>
        <color indexed="63"/>
      </bottom>
    </border>
    <border>
      <left style="thin"/>
      <right style="thin"/>
      <top style="thin"/>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style="thin"/>
      <top>
        <color indexed="63"/>
      </top>
      <bottom style="medium"/>
    </border>
    <border>
      <left style="thin"/>
      <right style="medium"/>
      <top style="medium"/>
      <bottom>
        <color indexed="63"/>
      </bottom>
    </border>
    <border>
      <left>
        <color indexed="63"/>
      </left>
      <right style="thin"/>
      <top style="thin"/>
      <bottom style="medium"/>
    </border>
    <border>
      <left>
        <color indexed="63"/>
      </left>
      <right style="thick"/>
      <top style="thick"/>
      <bottom>
        <color indexed="63"/>
      </bottom>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style="medium"/>
      <right/>
      <top style="medium"/>
      <bottom style="thin"/>
    </border>
    <border>
      <left style="medium"/>
      <right/>
      <top style="thin"/>
      <bottom style="thin"/>
    </border>
    <border>
      <left style="medium"/>
      <right>
        <color indexed="63"/>
      </right>
      <top style="thin"/>
      <bottom style="medium"/>
    </border>
    <border>
      <left style="thin"/>
      <right/>
      <top style="thin"/>
      <bottom style="thin"/>
    </border>
    <border>
      <left/>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medium"/>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47"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97">
    <xf numFmtId="0" fontId="0" fillId="0" borderId="0" xfId="0" applyAlignment="1">
      <alignment/>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3" fillId="33" borderId="13" xfId="0" applyFont="1" applyFill="1" applyBorder="1" applyAlignment="1">
      <alignment horizontal="center" vertical="center"/>
    </xf>
    <xf numFmtId="2" fontId="5" fillId="0" borderId="0" xfId="0" applyNumberFormat="1" applyFont="1" applyAlignment="1">
      <alignment horizontal="center"/>
    </xf>
    <xf numFmtId="165" fontId="3" fillId="33" borderId="14" xfId="0" applyNumberFormat="1" applyFont="1" applyFill="1" applyBorder="1" applyAlignment="1">
      <alignment horizontal="center" vertical="center"/>
    </xf>
    <xf numFmtId="0" fontId="3" fillId="33" borderId="14" xfId="0" applyFont="1" applyFill="1" applyBorder="1" applyAlignment="1">
      <alignment horizontal="center" vertical="center"/>
    </xf>
    <xf numFmtId="1" fontId="3" fillId="33" borderId="14" xfId="0" applyNumberFormat="1" applyFont="1" applyFill="1" applyBorder="1" applyAlignment="1">
      <alignment horizontal="center" vertical="center"/>
    </xf>
    <xf numFmtId="165" fontId="3" fillId="33" borderId="13" xfId="0" applyNumberFormat="1" applyFont="1" applyFill="1" applyBorder="1" applyAlignment="1">
      <alignment horizontal="center" vertical="center"/>
    </xf>
    <xf numFmtId="1" fontId="3" fillId="33" borderId="13" xfId="0" applyNumberFormat="1" applyFont="1" applyFill="1" applyBorder="1" applyAlignment="1">
      <alignment horizontal="center" vertical="center"/>
    </xf>
    <xf numFmtId="0" fontId="1" fillId="0" borderId="0" xfId="0" applyFont="1" applyAlignment="1">
      <alignment/>
    </xf>
    <xf numFmtId="0" fontId="1" fillId="0" borderId="0" xfId="0" applyFont="1" applyAlignment="1">
      <alignment horizontal="center"/>
    </xf>
    <xf numFmtId="165" fontId="3" fillId="33" borderId="15" xfId="0" applyNumberFormat="1" applyFont="1" applyFill="1" applyBorder="1" applyAlignment="1">
      <alignment horizontal="center" vertical="center"/>
    </xf>
    <xf numFmtId="0" fontId="3" fillId="33" borderId="15" xfId="0" applyFont="1" applyFill="1" applyBorder="1" applyAlignment="1">
      <alignment horizontal="center" vertical="center"/>
    </xf>
    <xf numFmtId="1" fontId="3" fillId="33" borderId="15" xfId="0" applyNumberFormat="1" applyFont="1" applyFill="1" applyBorder="1" applyAlignment="1">
      <alignment horizontal="center" vertical="center"/>
    </xf>
    <xf numFmtId="166" fontId="1" fillId="0" borderId="11" xfId="0" applyNumberFormat="1" applyFont="1" applyBorder="1" applyAlignment="1">
      <alignment horizontal="center" vertical="center" wrapText="1"/>
    </xf>
    <xf numFmtId="0" fontId="3" fillId="33" borderId="16" xfId="0" applyNumberFormat="1" applyFont="1" applyFill="1" applyBorder="1" applyAlignment="1">
      <alignment horizontal="center" vertical="center"/>
    </xf>
    <xf numFmtId="0" fontId="3" fillId="33" borderId="17" xfId="0" applyNumberFormat="1" applyFont="1" applyFill="1" applyBorder="1" applyAlignment="1">
      <alignment horizontal="center" vertical="center"/>
    </xf>
    <xf numFmtId="0" fontId="0" fillId="0" borderId="0" xfId="0" applyFont="1" applyAlignment="1">
      <alignment/>
    </xf>
    <xf numFmtId="166" fontId="3" fillId="0" borderId="0" xfId="0" applyNumberFormat="1" applyFont="1" applyFill="1" applyBorder="1" applyAlignment="1">
      <alignment/>
    </xf>
    <xf numFmtId="0" fontId="4" fillId="0" borderId="0" xfId="0" applyFont="1" applyAlignment="1">
      <alignment horizontal="center"/>
    </xf>
    <xf numFmtId="2" fontId="64" fillId="34" borderId="15" xfId="58" applyNumberFormat="1" applyFont="1" applyFill="1" applyBorder="1" applyAlignment="1">
      <alignment horizontal="center" vertical="center"/>
    </xf>
    <xf numFmtId="0" fontId="0" fillId="0" borderId="0" xfId="0" applyFont="1" applyAlignment="1">
      <alignment horizontal="center"/>
    </xf>
    <xf numFmtId="0" fontId="9" fillId="0" borderId="0" xfId="55" applyFont="1" applyBorder="1" applyAlignment="1">
      <alignment horizontal="center"/>
      <protection/>
    </xf>
    <xf numFmtId="0" fontId="10" fillId="0" borderId="18" xfId="55" applyFont="1" applyBorder="1" applyAlignment="1">
      <alignment horizontal="center"/>
      <protection/>
    </xf>
    <xf numFmtId="0" fontId="10" fillId="0" borderId="19" xfId="55" applyFont="1" applyBorder="1" applyAlignment="1">
      <alignment horizontal="center"/>
      <protection/>
    </xf>
    <xf numFmtId="0" fontId="10" fillId="0" borderId="20" xfId="55" applyFont="1" applyBorder="1" applyAlignment="1">
      <alignment horizontal="center"/>
      <protection/>
    </xf>
    <xf numFmtId="0" fontId="9" fillId="0" borderId="21" xfId="55" applyFont="1" applyBorder="1" applyAlignment="1">
      <alignment horizontal="center"/>
      <protection/>
    </xf>
    <xf numFmtId="0" fontId="9" fillId="0" borderId="22" xfId="55" applyFont="1" applyBorder="1" applyAlignment="1">
      <alignment horizontal="center"/>
      <protection/>
    </xf>
    <xf numFmtId="0" fontId="9" fillId="0" borderId="23" xfId="55" applyFont="1" applyBorder="1" applyAlignment="1">
      <alignment horizontal="center"/>
      <protection/>
    </xf>
    <xf numFmtId="0" fontId="9" fillId="0" borderId="24" xfId="55" applyFont="1" applyBorder="1" applyAlignment="1">
      <alignment horizontal="center"/>
      <protection/>
    </xf>
    <xf numFmtId="0" fontId="9" fillId="0" borderId="0" xfId="55" applyFont="1" applyFill="1" applyBorder="1" applyAlignment="1">
      <alignment horizontal="center"/>
      <protection/>
    </xf>
    <xf numFmtId="167" fontId="65" fillId="35" borderId="25" xfId="55" applyNumberFormat="1" applyFont="1" applyFill="1" applyBorder="1" applyAlignment="1">
      <alignment horizontal="center"/>
      <protection/>
    </xf>
    <xf numFmtId="0" fontId="65" fillId="35" borderId="22" xfId="55" applyFont="1" applyFill="1" applyBorder="1" applyAlignment="1">
      <alignment horizontal="center"/>
      <protection/>
    </xf>
    <xf numFmtId="0" fontId="65" fillId="35" borderId="23" xfId="55" applyFont="1" applyFill="1" applyBorder="1" applyAlignment="1">
      <alignment horizontal="center"/>
      <protection/>
    </xf>
    <xf numFmtId="170" fontId="66" fillId="36" borderId="25" xfId="55" applyNumberFormat="1" applyFont="1" applyFill="1" applyBorder="1" applyAlignment="1">
      <alignment horizontal="center"/>
      <protection/>
    </xf>
    <xf numFmtId="170" fontId="65" fillId="35" borderId="22" xfId="55" applyNumberFormat="1" applyFont="1" applyFill="1" applyBorder="1" applyAlignment="1">
      <alignment horizontal="center"/>
      <protection/>
    </xf>
    <xf numFmtId="170" fontId="65" fillId="35" borderId="23" xfId="55" applyNumberFormat="1" applyFont="1" applyFill="1" applyBorder="1" applyAlignment="1">
      <alignment horizontal="center"/>
      <protection/>
    </xf>
    <xf numFmtId="0" fontId="10" fillId="0" borderId="0" xfId="55" applyFont="1" applyBorder="1" applyAlignment="1">
      <alignment horizontal="center"/>
      <protection/>
    </xf>
    <xf numFmtId="0" fontId="10" fillId="0" borderId="0" xfId="55" applyFont="1" applyBorder="1">
      <alignment/>
      <protection/>
    </xf>
    <xf numFmtId="0" fontId="10" fillId="0" borderId="26" xfId="55" applyFont="1" applyFill="1" applyBorder="1" applyAlignment="1">
      <alignment horizontal="right"/>
      <protection/>
    </xf>
    <xf numFmtId="0" fontId="10" fillId="0" borderId="27" xfId="55" applyFont="1" applyBorder="1" applyAlignment="1">
      <alignment horizontal="right"/>
      <protection/>
    </xf>
    <xf numFmtId="0" fontId="10" fillId="0" borderId="19" xfId="55" applyFont="1" applyFill="1" applyBorder="1" applyAlignment="1">
      <alignment horizontal="center"/>
      <protection/>
    </xf>
    <xf numFmtId="167" fontId="65" fillId="37" borderId="24" xfId="55" applyNumberFormat="1" applyFont="1" applyFill="1" applyBorder="1" applyAlignment="1">
      <alignment horizontal="center"/>
      <protection/>
    </xf>
    <xf numFmtId="0" fontId="65" fillId="37" borderId="0" xfId="55" applyFont="1" applyFill="1" applyBorder="1" applyAlignment="1">
      <alignment horizontal="center"/>
      <protection/>
    </xf>
    <xf numFmtId="0" fontId="65" fillId="37" borderId="21" xfId="55" applyFont="1" applyFill="1" applyBorder="1" applyAlignment="1">
      <alignment horizontal="center"/>
      <protection/>
    </xf>
    <xf numFmtId="170" fontId="65" fillId="37" borderId="24" xfId="55" applyNumberFormat="1" applyFont="1" applyFill="1" applyBorder="1" applyAlignment="1">
      <alignment horizontal="center"/>
      <protection/>
    </xf>
    <xf numFmtId="170" fontId="65" fillId="37" borderId="0" xfId="55" applyNumberFormat="1" applyFont="1" applyFill="1" applyBorder="1" applyAlignment="1">
      <alignment horizontal="center"/>
      <protection/>
    </xf>
    <xf numFmtId="170" fontId="65" fillId="37" borderId="21" xfId="55" applyNumberFormat="1" applyFont="1" applyFill="1" applyBorder="1" applyAlignment="1">
      <alignment horizontal="center"/>
      <protection/>
    </xf>
    <xf numFmtId="0" fontId="9" fillId="0" borderId="18" xfId="55" applyFont="1" applyBorder="1" applyAlignment="1">
      <alignment horizontal="left"/>
      <protection/>
    </xf>
    <xf numFmtId="0" fontId="9" fillId="0" borderId="24" xfId="55" applyFont="1" applyBorder="1">
      <alignment/>
      <protection/>
    </xf>
    <xf numFmtId="0" fontId="9" fillId="0" borderId="25" xfId="55" applyFont="1" applyBorder="1" applyAlignment="1">
      <alignment horizontal="center"/>
      <protection/>
    </xf>
    <xf numFmtId="0" fontId="9" fillId="0" borderId="22" xfId="55" applyFont="1" applyFill="1" applyBorder="1" applyAlignment="1">
      <alignment horizontal="center"/>
      <protection/>
    </xf>
    <xf numFmtId="0" fontId="9" fillId="0" borderId="18" xfId="55" applyFont="1" applyBorder="1">
      <alignment/>
      <protection/>
    </xf>
    <xf numFmtId="0" fontId="9" fillId="0" borderId="19" xfId="55" applyFont="1" applyBorder="1" applyAlignment="1">
      <alignment horizontal="center"/>
      <protection/>
    </xf>
    <xf numFmtId="0" fontId="11" fillId="0" borderId="28" xfId="55" applyFont="1" applyBorder="1">
      <alignment/>
      <protection/>
    </xf>
    <xf numFmtId="0" fontId="10" fillId="0" borderId="29" xfId="55" applyFont="1" applyBorder="1">
      <alignment/>
      <protection/>
    </xf>
    <xf numFmtId="0" fontId="10" fillId="0" borderId="26" xfId="55" applyFont="1" applyBorder="1">
      <alignment/>
      <protection/>
    </xf>
    <xf numFmtId="0" fontId="0" fillId="0" borderId="0" xfId="0" applyBorder="1" applyAlignment="1">
      <alignment/>
    </xf>
    <xf numFmtId="0" fontId="9" fillId="0" borderId="26" xfId="55" applyFont="1" applyBorder="1" applyAlignment="1">
      <alignment horizontal="center"/>
      <protection/>
    </xf>
    <xf numFmtId="0" fontId="9" fillId="0" borderId="0" xfId="55" applyFont="1" applyBorder="1">
      <alignment/>
      <protection/>
    </xf>
    <xf numFmtId="167" fontId="67" fillId="34" borderId="0" xfId="55" applyNumberFormat="1" applyFont="1" applyFill="1" applyBorder="1">
      <alignment/>
      <protection/>
    </xf>
    <xf numFmtId="0" fontId="67" fillId="34" borderId="0" xfId="55" applyFont="1" applyFill="1" applyBorder="1">
      <alignment/>
      <protection/>
    </xf>
    <xf numFmtId="0" fontId="9" fillId="0" borderId="26" xfId="55" applyFont="1" applyBorder="1">
      <alignment/>
      <protection/>
    </xf>
    <xf numFmtId="0" fontId="9" fillId="0" borderId="26" xfId="55" applyFont="1" applyFill="1" applyBorder="1">
      <alignment/>
      <protection/>
    </xf>
    <xf numFmtId="0" fontId="10" fillId="35" borderId="26" xfId="55" applyFont="1" applyFill="1" applyBorder="1">
      <alignment/>
      <protection/>
    </xf>
    <xf numFmtId="0" fontId="10" fillId="0" borderId="0" xfId="55" applyFont="1" applyBorder="1" applyAlignment="1">
      <alignment horizontal="right"/>
      <protection/>
    </xf>
    <xf numFmtId="0" fontId="10" fillId="0" borderId="0" xfId="55" applyFont="1" applyBorder="1" applyAlignment="1">
      <alignment horizontal="left"/>
      <protection/>
    </xf>
    <xf numFmtId="170" fontId="66" fillId="0" borderId="14" xfId="55" applyNumberFormat="1" applyFont="1" applyFill="1" applyBorder="1" applyAlignment="1">
      <alignment horizontal="center"/>
      <protection/>
    </xf>
    <xf numFmtId="0" fontId="68" fillId="0" borderId="0" xfId="55" applyFont="1">
      <alignment/>
      <protection/>
    </xf>
    <xf numFmtId="0" fontId="69" fillId="0" borderId="0" xfId="55" applyFont="1">
      <alignment/>
      <protection/>
    </xf>
    <xf numFmtId="0" fontId="69" fillId="0" borderId="0" xfId="55" applyFont="1" applyAlignment="1">
      <alignment horizontal="right"/>
      <protection/>
    </xf>
    <xf numFmtId="0" fontId="69" fillId="0" borderId="14" xfId="55" applyFont="1" applyBorder="1">
      <alignment/>
      <protection/>
    </xf>
    <xf numFmtId="1" fontId="64" fillId="34" borderId="15" xfId="58" applyNumberFormat="1" applyFont="1" applyFill="1" applyBorder="1" applyAlignment="1">
      <alignment horizontal="center" vertical="center"/>
    </xf>
    <xf numFmtId="167" fontId="64" fillId="34" borderId="15" xfId="58" applyNumberFormat="1" applyFont="1" applyFill="1" applyBorder="1" applyAlignment="1">
      <alignment horizontal="center" vertical="center"/>
    </xf>
    <xf numFmtId="0" fontId="1" fillId="36" borderId="14" xfId="55" applyFont="1" applyFill="1" applyBorder="1" applyAlignment="1">
      <alignment vertical="center"/>
      <protection/>
    </xf>
    <xf numFmtId="0" fontId="1" fillId="36" borderId="13" xfId="55" applyFont="1" applyFill="1" applyBorder="1" applyAlignment="1">
      <alignment vertical="center"/>
      <protection/>
    </xf>
    <xf numFmtId="0" fontId="1" fillId="36" borderId="30" xfId="55" applyFont="1" applyFill="1" applyBorder="1" applyAlignment="1">
      <alignment vertical="center"/>
      <protection/>
    </xf>
    <xf numFmtId="0" fontId="1" fillId="36" borderId="31" xfId="55" applyFont="1" applyFill="1" applyBorder="1" applyAlignment="1">
      <alignment vertical="center"/>
      <protection/>
    </xf>
    <xf numFmtId="0" fontId="68" fillId="36" borderId="14" xfId="55" applyFont="1" applyFill="1" applyBorder="1">
      <alignment/>
      <protection/>
    </xf>
    <xf numFmtId="0" fontId="0" fillId="0" borderId="0" xfId="0" applyFont="1" applyAlignment="1">
      <alignment horizontal="right"/>
    </xf>
    <xf numFmtId="2" fontId="66" fillId="0" borderId="14" xfId="55" applyNumberFormat="1" applyFont="1" applyFill="1" applyBorder="1">
      <alignment/>
      <protection/>
    </xf>
    <xf numFmtId="2" fontId="66" fillId="0" borderId="32" xfId="55" applyNumberFormat="1" applyFont="1" applyBorder="1" applyAlignment="1">
      <alignment horizontal="center"/>
      <protection/>
    </xf>
    <xf numFmtId="170" fontId="67" fillId="35" borderId="22" xfId="55" applyNumberFormat="1" applyFont="1" applyFill="1" applyBorder="1" applyAlignment="1">
      <alignment horizontal="center"/>
      <protection/>
    </xf>
    <xf numFmtId="2" fontId="0" fillId="0" borderId="0" xfId="0" applyNumberFormat="1" applyFont="1" applyAlignment="1">
      <alignment horizontal="left"/>
    </xf>
    <xf numFmtId="0" fontId="1" fillId="0" borderId="33" xfId="0" applyFont="1" applyBorder="1" applyAlignment="1">
      <alignment horizontal="center" vertical="center" wrapText="1"/>
    </xf>
    <xf numFmtId="0" fontId="0" fillId="0" borderId="0" xfId="0" applyFont="1" applyAlignment="1">
      <alignment horizontal="left"/>
    </xf>
    <xf numFmtId="0" fontId="1" fillId="0" borderId="0" xfId="0" applyFont="1" applyFill="1" applyAlignment="1">
      <alignment horizontal="center"/>
    </xf>
    <xf numFmtId="0" fontId="0" fillId="0" borderId="0" xfId="0" applyFont="1" applyFill="1" applyAlignment="1">
      <alignment horizontal="center"/>
    </xf>
    <xf numFmtId="0" fontId="3" fillId="33" borderId="34" xfId="0" applyNumberFormat="1" applyFont="1" applyFill="1" applyBorder="1" applyAlignment="1">
      <alignment horizontal="center" vertical="center"/>
    </xf>
    <xf numFmtId="0" fontId="1" fillId="0" borderId="12" xfId="0" applyFont="1" applyBorder="1" applyAlignment="1">
      <alignment horizontal="center" wrapText="1"/>
    </xf>
    <xf numFmtId="2" fontId="64" fillId="34" borderId="35" xfId="0" applyNumberFormat="1" applyFont="1" applyFill="1" applyBorder="1" applyAlignment="1">
      <alignment horizontal="center" vertical="center"/>
    </xf>
    <xf numFmtId="2" fontId="64" fillId="34" borderId="36" xfId="0" applyNumberFormat="1" applyFont="1" applyFill="1" applyBorder="1" applyAlignment="1">
      <alignment horizontal="center" vertical="center"/>
    </xf>
    <xf numFmtId="2" fontId="64" fillId="34" borderId="37" xfId="0" applyNumberFormat="1" applyFont="1" applyFill="1" applyBorder="1" applyAlignment="1">
      <alignment horizontal="center" vertical="center"/>
    </xf>
    <xf numFmtId="0" fontId="0" fillId="0" borderId="0" xfId="0" applyFont="1" applyAlignment="1">
      <alignment horizontal="right" vertical="center"/>
    </xf>
    <xf numFmtId="0" fontId="1" fillId="0" borderId="0" xfId="0" applyFont="1" applyAlignment="1">
      <alignment horizontal="right" vertical="center"/>
    </xf>
    <xf numFmtId="166" fontId="1" fillId="0" borderId="14" xfId="0" applyNumberFormat="1" applyFont="1" applyBorder="1" applyAlignment="1">
      <alignment horizontal="left" vertical="center"/>
    </xf>
    <xf numFmtId="2" fontId="64" fillId="34" borderId="15" xfId="0" applyNumberFormat="1" applyFont="1" applyFill="1" applyBorder="1" applyAlignment="1">
      <alignment horizontal="center" vertical="center"/>
    </xf>
    <xf numFmtId="2" fontId="64" fillId="34" borderId="14" xfId="0" applyNumberFormat="1" applyFont="1" applyFill="1" applyBorder="1" applyAlignment="1">
      <alignment horizontal="center" vertical="center"/>
    </xf>
    <xf numFmtId="2" fontId="64" fillId="34" borderId="13" xfId="0" applyNumberFormat="1" applyFont="1" applyFill="1" applyBorder="1" applyAlignment="1">
      <alignment horizontal="center" vertical="center"/>
    </xf>
    <xf numFmtId="2" fontId="1" fillId="0" borderId="14" xfId="0" applyNumberFormat="1" applyFont="1" applyBorder="1" applyAlignment="1">
      <alignment horizontal="left"/>
    </xf>
    <xf numFmtId="0" fontId="0" fillId="0" borderId="14" xfId="0" applyFont="1" applyBorder="1" applyAlignment="1">
      <alignment/>
    </xf>
    <xf numFmtId="0" fontId="0" fillId="0" borderId="14" xfId="0" applyFont="1" applyBorder="1" applyAlignment="1">
      <alignment wrapText="1"/>
    </xf>
    <xf numFmtId="0" fontId="64" fillId="34" borderId="14" xfId="0" applyFont="1" applyFill="1" applyBorder="1" applyAlignment="1">
      <alignment horizontal="center"/>
    </xf>
    <xf numFmtId="0" fontId="1" fillId="2" borderId="14" xfId="0" applyFont="1" applyFill="1" applyBorder="1" applyAlignment="1">
      <alignment/>
    </xf>
    <xf numFmtId="2" fontId="1" fillId="2" borderId="14" xfId="0" applyNumberFormat="1" applyFont="1" applyFill="1" applyBorder="1" applyAlignment="1">
      <alignment horizontal="center"/>
    </xf>
    <xf numFmtId="0" fontId="1" fillId="0" borderId="0" xfId="0" applyFont="1" applyFill="1" applyBorder="1" applyAlignment="1">
      <alignment horizontal="right" vertical="center"/>
    </xf>
    <xf numFmtId="0" fontId="1" fillId="0" borderId="0" xfId="0" applyFont="1" applyFill="1" applyBorder="1" applyAlignment="1">
      <alignment vertical="center"/>
    </xf>
    <xf numFmtId="0" fontId="1" fillId="0" borderId="0" xfId="0" applyFont="1" applyAlignment="1">
      <alignment horizontal="center" vertical="center"/>
    </xf>
    <xf numFmtId="0" fontId="0" fillId="0" borderId="16" xfId="0" applyFont="1" applyBorder="1" applyAlignment="1">
      <alignment horizontal="center" vertical="center"/>
    </xf>
    <xf numFmtId="0" fontId="0" fillId="0" borderId="30" xfId="0" applyFont="1" applyBorder="1" applyAlignment="1">
      <alignment horizontal="center" vertical="center"/>
    </xf>
    <xf numFmtId="0" fontId="64" fillId="34" borderId="16" xfId="0" applyFont="1" applyFill="1" applyBorder="1" applyAlignment="1">
      <alignment horizontal="center" vertical="center"/>
    </xf>
    <xf numFmtId="0" fontId="0" fillId="0" borderId="30" xfId="0" applyFont="1" applyFill="1" applyBorder="1" applyAlignment="1">
      <alignment horizontal="center" vertical="center"/>
    </xf>
    <xf numFmtId="167" fontId="64" fillId="34" borderId="16" xfId="0" applyNumberFormat="1" applyFont="1" applyFill="1" applyBorder="1" applyAlignment="1">
      <alignment horizontal="center" vertical="center"/>
    </xf>
    <xf numFmtId="0" fontId="64" fillId="34" borderId="17" xfId="0" applyFont="1" applyFill="1" applyBorder="1" applyAlignment="1">
      <alignment horizontal="center" vertical="center"/>
    </xf>
    <xf numFmtId="0" fontId="0" fillId="0" borderId="38" xfId="0" applyFont="1" applyBorder="1" applyAlignment="1">
      <alignment horizontal="right" vertical="center"/>
    </xf>
    <xf numFmtId="0" fontId="0" fillId="0" borderId="39" xfId="0" applyFont="1" applyBorder="1" applyAlignment="1">
      <alignment horizontal="right" vertical="center"/>
    </xf>
    <xf numFmtId="0" fontId="0" fillId="0" borderId="39" xfId="0" applyFont="1" applyFill="1" applyBorder="1" applyAlignment="1">
      <alignment horizontal="right" vertical="center"/>
    </xf>
    <xf numFmtId="0" fontId="0" fillId="0" borderId="40" xfId="0" applyFont="1" applyBorder="1" applyAlignment="1">
      <alignment horizontal="right" vertical="center"/>
    </xf>
    <xf numFmtId="0" fontId="70" fillId="2" borderId="30" xfId="0" applyNumberFormat="1" applyFont="1" applyFill="1" applyBorder="1" applyAlignment="1">
      <alignment horizontal="center" vertical="center"/>
    </xf>
    <xf numFmtId="2" fontId="70" fillId="2" borderId="14" xfId="0" applyNumberFormat="1" applyFont="1" applyFill="1" applyBorder="1" applyAlignment="1">
      <alignment horizontal="center" vertical="center"/>
    </xf>
    <xf numFmtId="167" fontId="70" fillId="2" borderId="30" xfId="0" applyNumberFormat="1" applyFont="1" applyFill="1" applyBorder="1" applyAlignment="1">
      <alignment horizontal="center" vertical="center"/>
    </xf>
    <xf numFmtId="2" fontId="70" fillId="2" borderId="41" xfId="0" applyNumberFormat="1" applyFont="1" applyFill="1" applyBorder="1" applyAlignment="1">
      <alignment horizontal="center" vertical="center"/>
    </xf>
    <xf numFmtId="2" fontId="70" fillId="2" borderId="15" xfId="0" applyNumberFormat="1" applyFont="1" applyFill="1" applyBorder="1" applyAlignment="1">
      <alignment horizontal="center" vertical="center"/>
    </xf>
    <xf numFmtId="2" fontId="70" fillId="2" borderId="42" xfId="0" applyNumberFormat="1" applyFont="1" applyFill="1" applyBorder="1" applyAlignment="1">
      <alignment horizontal="center" vertical="center"/>
    </xf>
    <xf numFmtId="0" fontId="64" fillId="34" borderId="43" xfId="0" applyFont="1" applyFill="1" applyBorder="1" applyAlignment="1">
      <alignment horizontal="center"/>
    </xf>
    <xf numFmtId="0" fontId="1" fillId="0" borderId="14" xfId="0" applyFont="1" applyBorder="1" applyAlignment="1">
      <alignment/>
    </xf>
    <xf numFmtId="167" fontId="70" fillId="2" borderId="16" xfId="55" applyNumberFormat="1" applyFont="1" applyFill="1" applyBorder="1" applyAlignment="1">
      <alignment horizontal="center" vertical="center"/>
      <protection/>
    </xf>
    <xf numFmtId="2" fontId="70" fillId="2" borderId="14" xfId="55" applyNumberFormat="1" applyFont="1" applyFill="1" applyBorder="1" applyAlignment="1">
      <alignment horizontal="center" vertical="center"/>
      <protection/>
    </xf>
    <xf numFmtId="2" fontId="70" fillId="2" borderId="14" xfId="55" applyNumberFormat="1" applyFont="1" applyFill="1" applyBorder="1" applyAlignment="1">
      <alignment horizontal="center"/>
      <protection/>
    </xf>
    <xf numFmtId="167" fontId="70" fillId="2" borderId="14" xfId="55" applyNumberFormat="1" applyFont="1" applyFill="1" applyBorder="1" applyAlignment="1">
      <alignment horizontal="center"/>
      <protection/>
    </xf>
    <xf numFmtId="2" fontId="70" fillId="2" borderId="16" xfId="55" applyNumberFormat="1" applyFont="1" applyFill="1" applyBorder="1" applyAlignment="1">
      <alignment horizontal="center" vertical="center"/>
      <protection/>
    </xf>
    <xf numFmtId="2" fontId="70" fillId="2" borderId="17" xfId="55" applyNumberFormat="1" applyFont="1" applyFill="1" applyBorder="1" applyAlignment="1">
      <alignment horizontal="center" vertical="center"/>
      <protection/>
    </xf>
    <xf numFmtId="2" fontId="70" fillId="2" borderId="13" xfId="55" applyNumberFormat="1" applyFont="1" applyFill="1" applyBorder="1" applyAlignment="1">
      <alignment horizontal="center" vertical="center"/>
      <protection/>
    </xf>
    <xf numFmtId="2" fontId="70" fillId="2" borderId="13" xfId="55" applyNumberFormat="1" applyFont="1" applyFill="1" applyBorder="1" applyAlignment="1">
      <alignment horizontal="center"/>
      <protection/>
    </xf>
    <xf numFmtId="167" fontId="70" fillId="2" borderId="13" xfId="55" applyNumberFormat="1" applyFont="1" applyFill="1" applyBorder="1" applyAlignment="1">
      <alignment horizontal="center"/>
      <protection/>
    </xf>
    <xf numFmtId="167" fontId="70" fillId="2" borderId="16" xfId="0" applyNumberFormat="1" applyFont="1" applyFill="1" applyBorder="1" applyAlignment="1">
      <alignment horizontal="center" vertical="center"/>
    </xf>
    <xf numFmtId="0" fontId="70" fillId="2" borderId="16" xfId="0" applyFont="1" applyFill="1" applyBorder="1" applyAlignment="1">
      <alignment horizontal="center" vertical="center"/>
    </xf>
    <xf numFmtId="0" fontId="70" fillId="2" borderId="14" xfId="0" applyFont="1" applyFill="1" applyBorder="1" applyAlignment="1">
      <alignment horizontal="center" vertical="center"/>
    </xf>
    <xf numFmtId="1" fontId="70" fillId="2" borderId="14" xfId="0" applyNumberFormat="1" applyFont="1" applyFill="1" applyBorder="1" applyAlignment="1">
      <alignment horizontal="center" vertical="center"/>
    </xf>
    <xf numFmtId="0" fontId="70" fillId="2" borderId="15" xfId="0" applyFont="1" applyFill="1" applyBorder="1" applyAlignment="1">
      <alignment horizontal="center" vertical="center"/>
    </xf>
    <xf numFmtId="1" fontId="70" fillId="2" borderId="15" xfId="0" applyNumberFormat="1" applyFont="1" applyFill="1" applyBorder="1" applyAlignment="1">
      <alignment horizontal="center" vertical="center"/>
    </xf>
    <xf numFmtId="0" fontId="1" fillId="0" borderId="11" xfId="0" applyFont="1" applyBorder="1" applyAlignment="1">
      <alignment horizontal="center" vertical="center"/>
    </xf>
    <xf numFmtId="0" fontId="3" fillId="33" borderId="44" xfId="0" applyNumberFormat="1" applyFont="1" applyFill="1" applyBorder="1" applyAlignment="1">
      <alignment horizontal="center" vertical="center"/>
    </xf>
    <xf numFmtId="0" fontId="70" fillId="2" borderId="13" xfId="0" applyFont="1" applyFill="1" applyBorder="1" applyAlignment="1">
      <alignment horizontal="center" vertical="center"/>
    </xf>
    <xf numFmtId="1" fontId="70" fillId="2" borderId="13" xfId="0" applyNumberFormat="1" applyFont="1" applyFill="1" applyBorder="1" applyAlignment="1">
      <alignment horizontal="center" vertical="center"/>
    </xf>
    <xf numFmtId="0" fontId="0" fillId="0" borderId="0" xfId="0" applyFont="1" applyAlignment="1">
      <alignment horizontal="left" vertical="center"/>
    </xf>
    <xf numFmtId="3" fontId="70" fillId="2" borderId="15" xfId="0" applyNumberFormat="1" applyFont="1" applyFill="1" applyBorder="1" applyAlignment="1">
      <alignment horizontal="center" vertical="center"/>
    </xf>
    <xf numFmtId="167" fontId="64" fillId="34" borderId="15" xfId="0" applyNumberFormat="1" applyFont="1" applyFill="1" applyBorder="1" applyAlignment="1">
      <alignment horizontal="center" vertical="center"/>
    </xf>
    <xf numFmtId="167" fontId="64" fillId="34" borderId="14" xfId="0" applyNumberFormat="1" applyFont="1" applyFill="1" applyBorder="1" applyAlignment="1">
      <alignment horizontal="center" vertical="center"/>
    </xf>
    <xf numFmtId="167" fontId="64" fillId="34" borderId="13" xfId="0" applyNumberFormat="1" applyFont="1" applyFill="1" applyBorder="1" applyAlignment="1">
      <alignment horizontal="center" vertical="center"/>
    </xf>
    <xf numFmtId="2" fontId="71" fillId="2" borderId="14" xfId="0" applyNumberFormat="1" applyFont="1" applyFill="1" applyBorder="1" applyAlignment="1">
      <alignment horizontal="center"/>
    </xf>
    <xf numFmtId="0" fontId="70" fillId="2" borderId="14" xfId="0" applyFont="1" applyFill="1" applyBorder="1" applyAlignment="1">
      <alignment horizontal="center"/>
    </xf>
    <xf numFmtId="2" fontId="71" fillId="2" borderId="14" xfId="0" applyNumberFormat="1" applyFont="1" applyFill="1" applyBorder="1" applyAlignment="1">
      <alignment horizontal="center" vertical="center"/>
    </xf>
    <xf numFmtId="0" fontId="0" fillId="0" borderId="24" xfId="0" applyFont="1" applyBorder="1" applyAlignment="1">
      <alignment/>
    </xf>
    <xf numFmtId="0" fontId="0" fillId="0" borderId="21" xfId="0" applyBorder="1" applyAlignment="1">
      <alignment/>
    </xf>
    <xf numFmtId="0" fontId="0" fillId="0" borderId="25"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1" fillId="0" borderId="24" xfId="0" applyFont="1" applyBorder="1" applyAlignment="1">
      <alignment horizontal="left" vertical="center"/>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21" xfId="0" applyBorder="1" applyAlignment="1">
      <alignment horizontal="left" vertical="top" wrapText="1"/>
    </xf>
    <xf numFmtId="0" fontId="1" fillId="0" borderId="24" xfId="0" applyFont="1" applyBorder="1" applyAlignment="1">
      <alignment horizontal="left" vertical="center" wrapText="1"/>
    </xf>
    <xf numFmtId="0" fontId="1" fillId="0" borderId="25" xfId="0" applyFont="1" applyBorder="1" applyAlignment="1">
      <alignment horizontal="left" vertical="center"/>
    </xf>
    <xf numFmtId="0" fontId="0" fillId="0" borderId="22" xfId="0" applyFont="1"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64" fillId="34" borderId="24" xfId="0" applyFont="1" applyFill="1" applyBorder="1" applyAlignment="1">
      <alignment/>
    </xf>
    <xf numFmtId="0" fontId="70" fillId="2" borderId="24" xfId="0" applyFont="1" applyFill="1" applyBorder="1" applyAlignment="1">
      <alignment/>
    </xf>
    <xf numFmtId="0" fontId="1" fillId="36" borderId="24" xfId="0" applyFont="1" applyFill="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14" xfId="0" applyFont="1" applyFill="1" applyBorder="1" applyAlignment="1">
      <alignment/>
    </xf>
    <xf numFmtId="0" fontId="71" fillId="2" borderId="14" xfId="0" applyFont="1" applyFill="1" applyBorder="1" applyAlignment="1">
      <alignment horizontal="center"/>
    </xf>
    <xf numFmtId="0" fontId="64" fillId="34" borderId="14" xfId="0" applyFont="1" applyFill="1" applyBorder="1" applyAlignment="1">
      <alignment horizontal="center" vertical="center"/>
    </xf>
    <xf numFmtId="176" fontId="70" fillId="2" borderId="14" xfId="0" applyNumberFormat="1" applyFont="1" applyFill="1" applyBorder="1" applyAlignment="1">
      <alignment horizontal="center"/>
    </xf>
    <xf numFmtId="3" fontId="64" fillId="34" borderId="14" xfId="0" applyNumberFormat="1" applyFont="1" applyFill="1" applyBorder="1" applyAlignment="1">
      <alignment horizontal="center"/>
    </xf>
    <xf numFmtId="3" fontId="70" fillId="2" borderId="14" xfId="0" applyNumberFormat="1" applyFont="1" applyFill="1" applyBorder="1" applyAlignment="1">
      <alignment horizontal="center"/>
    </xf>
    <xf numFmtId="167" fontId="64" fillId="34" borderId="35" xfId="0" applyNumberFormat="1" applyFont="1" applyFill="1" applyBorder="1" applyAlignment="1">
      <alignment horizontal="center" vertical="center"/>
    </xf>
    <xf numFmtId="0" fontId="15" fillId="0" borderId="0" xfId="0" applyFont="1" applyAlignment="1">
      <alignment/>
    </xf>
    <xf numFmtId="0" fontId="68" fillId="36" borderId="14" xfId="55" applyFont="1" applyFill="1" applyBorder="1" applyAlignment="1">
      <alignment horizontal="center" vertical="center"/>
      <protection/>
    </xf>
    <xf numFmtId="0" fontId="68" fillId="36" borderId="14" xfId="55" applyFont="1" applyFill="1" applyBorder="1" applyAlignment="1">
      <alignment vertical="center"/>
      <protection/>
    </xf>
    <xf numFmtId="0" fontId="70" fillId="38" borderId="34" xfId="0" applyNumberFormat="1" applyFont="1" applyFill="1" applyBorder="1" applyAlignment="1">
      <alignment horizontal="center" vertical="center"/>
    </xf>
    <xf numFmtId="0" fontId="70" fillId="38" borderId="16" xfId="0" applyNumberFormat="1" applyFont="1" applyFill="1" applyBorder="1" applyAlignment="1">
      <alignment horizontal="center" vertical="center"/>
    </xf>
    <xf numFmtId="0" fontId="70" fillId="38" borderId="17" xfId="0" applyNumberFormat="1" applyFont="1" applyFill="1" applyBorder="1" applyAlignment="1">
      <alignment horizontal="center" vertical="center"/>
    </xf>
    <xf numFmtId="166" fontId="1" fillId="0" borderId="12" xfId="0" applyNumberFormat="1" applyFont="1" applyBorder="1" applyAlignment="1">
      <alignment horizontal="center" vertical="center" wrapText="1"/>
    </xf>
    <xf numFmtId="2" fontId="64" fillId="34" borderId="45" xfId="0" applyNumberFormat="1" applyFont="1" applyFill="1" applyBorder="1" applyAlignment="1">
      <alignment horizontal="center" vertical="center"/>
    </xf>
    <xf numFmtId="2" fontId="64" fillId="34" borderId="46" xfId="0" applyNumberFormat="1" applyFont="1" applyFill="1" applyBorder="1" applyAlignment="1">
      <alignment horizontal="center" vertical="center"/>
    </xf>
    <xf numFmtId="2" fontId="64" fillId="34" borderId="47" xfId="0" applyNumberFormat="1" applyFont="1" applyFill="1" applyBorder="1" applyAlignment="1">
      <alignment horizontal="center" vertical="center"/>
    </xf>
    <xf numFmtId="0" fontId="68" fillId="36" borderId="30" xfId="55" applyFont="1" applyFill="1" applyBorder="1" applyAlignment="1">
      <alignment vertical="center"/>
      <protection/>
    </xf>
    <xf numFmtId="0" fontId="68" fillId="36" borderId="31" xfId="55" applyFont="1" applyFill="1" applyBorder="1" applyAlignment="1">
      <alignment vertical="center"/>
      <protection/>
    </xf>
    <xf numFmtId="0" fontId="70" fillId="2" borderId="15" xfId="0" applyFont="1" applyFill="1" applyBorder="1" applyAlignment="1">
      <alignment horizontal="center"/>
    </xf>
    <xf numFmtId="0" fontId="64" fillId="34" borderId="15" xfId="0" applyFont="1" applyFill="1" applyBorder="1" applyAlignment="1">
      <alignment horizontal="center"/>
    </xf>
    <xf numFmtId="0" fontId="1" fillId="0" borderId="11" xfId="0" applyFont="1" applyBorder="1" applyAlignment="1">
      <alignment horizontal="center" wrapText="1"/>
    </xf>
    <xf numFmtId="0" fontId="1" fillId="0" borderId="12" xfId="0" applyFont="1" applyFill="1" applyBorder="1" applyAlignment="1">
      <alignment horizontal="center" vertical="center" wrapText="1"/>
    </xf>
    <xf numFmtId="0" fontId="64" fillId="34" borderId="46" xfId="0" applyFont="1" applyFill="1" applyBorder="1" applyAlignment="1">
      <alignment horizontal="center"/>
    </xf>
    <xf numFmtId="0" fontId="64" fillId="34" borderId="30" xfId="0" applyFont="1" applyFill="1" applyBorder="1" applyAlignment="1">
      <alignment horizontal="center"/>
    </xf>
    <xf numFmtId="0" fontId="70" fillId="2" borderId="13" xfId="0" applyFont="1" applyFill="1" applyBorder="1" applyAlignment="1">
      <alignment horizontal="center"/>
    </xf>
    <xf numFmtId="0" fontId="64" fillId="34" borderId="43" xfId="0" applyFont="1" applyFill="1" applyBorder="1" applyAlignment="1">
      <alignment horizontal="center" vertical="center"/>
    </xf>
    <xf numFmtId="3" fontId="70" fillId="2" borderId="15" xfId="0" applyNumberFormat="1" applyFont="1" applyFill="1" applyBorder="1" applyAlignment="1">
      <alignment horizontal="center"/>
    </xf>
    <xf numFmtId="3" fontId="64" fillId="34" borderId="15" xfId="0" applyNumberFormat="1" applyFont="1" applyFill="1" applyBorder="1" applyAlignment="1">
      <alignment horizontal="center"/>
    </xf>
    <xf numFmtId="176" fontId="70" fillId="2" borderId="15" xfId="0" applyNumberFormat="1" applyFont="1" applyFill="1" applyBorder="1" applyAlignment="1">
      <alignment horizontal="center"/>
    </xf>
    <xf numFmtId="176" fontId="70" fillId="2" borderId="46" xfId="0" applyNumberFormat="1" applyFont="1" applyFill="1" applyBorder="1" applyAlignment="1">
      <alignment horizontal="center"/>
    </xf>
    <xf numFmtId="176" fontId="70" fillId="2" borderId="30" xfId="0" applyNumberFormat="1" applyFont="1" applyFill="1" applyBorder="1" applyAlignment="1">
      <alignment horizontal="center"/>
    </xf>
    <xf numFmtId="0" fontId="64" fillId="34" borderId="13" xfId="0" applyFont="1" applyFill="1" applyBorder="1" applyAlignment="1">
      <alignment horizontal="center"/>
    </xf>
    <xf numFmtId="3" fontId="70" fillId="2" borderId="13" xfId="0" applyNumberFormat="1" applyFont="1" applyFill="1" applyBorder="1" applyAlignment="1">
      <alignment horizontal="center"/>
    </xf>
    <xf numFmtId="3" fontId="64" fillId="34" borderId="13" xfId="0" applyNumberFormat="1" applyFont="1" applyFill="1" applyBorder="1" applyAlignment="1">
      <alignment horizontal="center"/>
    </xf>
    <xf numFmtId="176" fontId="70" fillId="2" borderId="13" xfId="0" applyNumberFormat="1" applyFont="1" applyFill="1" applyBorder="1" applyAlignment="1">
      <alignment horizontal="center"/>
    </xf>
    <xf numFmtId="176" fontId="70" fillId="2" borderId="31" xfId="0" applyNumberFormat="1" applyFont="1" applyFill="1" applyBorder="1" applyAlignment="1">
      <alignment horizontal="center"/>
    </xf>
    <xf numFmtId="0" fontId="0" fillId="0" borderId="16" xfId="0" applyFont="1" applyBorder="1" applyAlignment="1">
      <alignment horizontal="left" vertical="center"/>
    </xf>
    <xf numFmtId="0" fontId="0" fillId="0" borderId="16" xfId="0" applyFont="1" applyFill="1" applyBorder="1" applyAlignment="1">
      <alignment horizontal="left" vertical="center"/>
    </xf>
    <xf numFmtId="0" fontId="0" fillId="0" borderId="44" xfId="0" applyFont="1" applyBorder="1" applyAlignment="1">
      <alignment horizontal="left" vertical="center"/>
    </xf>
    <xf numFmtId="0" fontId="70" fillId="2" borderId="46" xfId="0" applyNumberFormat="1" applyFont="1" applyFill="1" applyBorder="1" applyAlignment="1">
      <alignment horizontal="center" vertical="center"/>
    </xf>
    <xf numFmtId="0" fontId="1" fillId="0" borderId="11" xfId="0" applyFont="1" applyFill="1" applyBorder="1" applyAlignment="1">
      <alignment horizontal="center" wrapText="1"/>
    </xf>
    <xf numFmtId="0" fontId="0" fillId="0" borderId="48" xfId="0" applyFont="1" applyFill="1" applyBorder="1" applyAlignment="1">
      <alignment horizontal="left" vertical="center"/>
    </xf>
    <xf numFmtId="0" fontId="70" fillId="2" borderId="49" xfId="0" applyNumberFormat="1" applyFont="1" applyFill="1" applyBorder="1" applyAlignment="1">
      <alignment horizontal="center" vertical="center"/>
    </xf>
    <xf numFmtId="0" fontId="1" fillId="0" borderId="50" xfId="0" applyFont="1" applyFill="1" applyBorder="1" applyAlignment="1">
      <alignment horizontal="left" vertical="center"/>
    </xf>
    <xf numFmtId="0" fontId="1" fillId="0" borderId="51" xfId="0" applyFont="1" applyBorder="1" applyAlignment="1">
      <alignment/>
    </xf>
    <xf numFmtId="2" fontId="64" fillId="34" borderId="15" xfId="0" applyNumberFormat="1" applyFont="1" applyFill="1" applyBorder="1" applyAlignment="1">
      <alignment horizontal="center"/>
    </xf>
    <xf numFmtId="2" fontId="64" fillId="34" borderId="14" xfId="0" applyNumberFormat="1" applyFont="1" applyFill="1" applyBorder="1" applyAlignment="1">
      <alignment horizontal="center"/>
    </xf>
    <xf numFmtId="2" fontId="70" fillId="39" borderId="0" xfId="0" applyNumberFormat="1" applyFont="1" applyFill="1" applyBorder="1" applyAlignment="1">
      <alignment horizontal="center" vertical="center"/>
    </xf>
    <xf numFmtId="166" fontId="0" fillId="0" borderId="16" xfId="0" applyNumberFormat="1" applyFont="1" applyBorder="1" applyAlignment="1">
      <alignment horizontal="left" vertical="center"/>
    </xf>
    <xf numFmtId="166" fontId="0" fillId="0" borderId="24" xfId="0" applyNumberFormat="1" applyFont="1" applyBorder="1" applyAlignment="1">
      <alignment horizontal="left" vertical="center"/>
    </xf>
    <xf numFmtId="166" fontId="1" fillId="0" borderId="50" xfId="0" applyNumberFormat="1" applyFont="1" applyBorder="1" applyAlignment="1">
      <alignment horizontal="left" vertical="center"/>
    </xf>
    <xf numFmtId="0" fontId="72" fillId="34" borderId="10" xfId="0" applyFont="1" applyFill="1" applyBorder="1" applyAlignment="1">
      <alignment horizontal="left" vertical="center"/>
    </xf>
    <xf numFmtId="167" fontId="71" fillId="2" borderId="52" xfId="0" applyNumberFormat="1" applyFont="1" applyFill="1" applyBorder="1" applyAlignment="1">
      <alignment horizontal="center" vertical="center"/>
    </xf>
    <xf numFmtId="0" fontId="0" fillId="0" borderId="51" xfId="0" applyFont="1" applyBorder="1" applyAlignment="1">
      <alignment horizontal="center" vertical="center"/>
    </xf>
    <xf numFmtId="0" fontId="0" fillId="0" borderId="46" xfId="0" applyFont="1" applyBorder="1" applyAlignment="1">
      <alignment horizontal="center" vertical="center"/>
    </xf>
    <xf numFmtId="0" fontId="1" fillId="0" borderId="12" xfId="0" applyFont="1" applyBorder="1" applyAlignment="1">
      <alignment horizontal="center" vertical="center"/>
    </xf>
    <xf numFmtId="166" fontId="64" fillId="34" borderId="31" xfId="0" applyNumberFormat="1" applyFont="1" applyFill="1" applyBorder="1" applyAlignment="1">
      <alignment horizontal="center" vertical="center"/>
    </xf>
    <xf numFmtId="166" fontId="64" fillId="34" borderId="30" xfId="0" applyNumberFormat="1" applyFont="1" applyFill="1" applyBorder="1" applyAlignment="1">
      <alignment horizontal="center" vertical="center"/>
    </xf>
    <xf numFmtId="0" fontId="4" fillId="0" borderId="0" xfId="0" applyFont="1" applyBorder="1" applyAlignment="1">
      <alignment horizontal="center"/>
    </xf>
    <xf numFmtId="167" fontId="64" fillId="34" borderId="42" xfId="58" applyNumberFormat="1" applyFont="1" applyFill="1" applyBorder="1" applyAlignment="1">
      <alignment horizontal="center" vertical="center"/>
    </xf>
    <xf numFmtId="1" fontId="64" fillId="34" borderId="42" xfId="58" applyNumberFormat="1" applyFont="1" applyFill="1" applyBorder="1" applyAlignment="1">
      <alignment horizontal="center" vertical="center"/>
    </xf>
    <xf numFmtId="2" fontId="64" fillId="34" borderId="42" xfId="58" applyNumberFormat="1" applyFont="1" applyFill="1" applyBorder="1" applyAlignment="1">
      <alignment horizontal="center" vertical="center"/>
    </xf>
    <xf numFmtId="1" fontId="5" fillId="2" borderId="46" xfId="0" applyNumberFormat="1" applyFont="1" applyFill="1" applyBorder="1" applyAlignment="1">
      <alignment horizontal="center" vertical="center"/>
    </xf>
    <xf numFmtId="1" fontId="5" fillId="2" borderId="47" xfId="0" applyNumberFormat="1" applyFont="1" applyFill="1" applyBorder="1" applyAlignment="1">
      <alignment horizontal="center" vertical="center"/>
    </xf>
    <xf numFmtId="0" fontId="64" fillId="34" borderId="44" xfId="0" applyFont="1" applyFill="1" applyBorder="1" applyAlignment="1">
      <alignment/>
    </xf>
    <xf numFmtId="0" fontId="64" fillId="34" borderId="16" xfId="0" applyFont="1" applyFill="1" applyBorder="1" applyAlignment="1">
      <alignment/>
    </xf>
    <xf numFmtId="0" fontId="64" fillId="34" borderId="17" xfId="0" applyFont="1" applyFill="1" applyBorder="1" applyAlignment="1">
      <alignment/>
    </xf>
    <xf numFmtId="2" fontId="64" fillId="34" borderId="44" xfId="0" applyNumberFormat="1" applyFont="1" applyFill="1" applyBorder="1" applyAlignment="1">
      <alignment horizontal="center" vertical="center"/>
    </xf>
    <xf numFmtId="167" fontId="64" fillId="34" borderId="46" xfId="58" applyNumberFormat="1" applyFont="1" applyFill="1" applyBorder="1" applyAlignment="1">
      <alignment horizontal="center" vertical="center"/>
    </xf>
    <xf numFmtId="2" fontId="64" fillId="34" borderId="53" xfId="0" applyNumberFormat="1" applyFont="1" applyFill="1" applyBorder="1" applyAlignment="1">
      <alignment horizontal="center" vertical="center"/>
    </xf>
    <xf numFmtId="167" fontId="64" fillId="34" borderId="47" xfId="58" applyNumberFormat="1" applyFont="1" applyFill="1" applyBorder="1" applyAlignment="1">
      <alignment horizontal="center" vertical="center"/>
    </xf>
    <xf numFmtId="1" fontId="72" fillId="34" borderId="44" xfId="58" applyNumberFormat="1" applyFont="1" applyFill="1" applyBorder="1" applyAlignment="1">
      <alignment horizontal="center" vertical="center"/>
    </xf>
    <xf numFmtId="2" fontId="70" fillId="2" borderId="46" xfId="58" applyNumberFormat="1" applyFont="1" applyFill="1" applyBorder="1" applyAlignment="1">
      <alignment horizontal="center" vertical="center"/>
    </xf>
    <xf numFmtId="1" fontId="72" fillId="34" borderId="53" xfId="58" applyNumberFormat="1" applyFont="1" applyFill="1" applyBorder="1" applyAlignment="1">
      <alignment horizontal="center" vertical="center"/>
    </xf>
    <xf numFmtId="2" fontId="70" fillId="2" borderId="47" xfId="58" applyNumberFormat="1" applyFont="1" applyFill="1" applyBorder="1" applyAlignment="1">
      <alignment horizontal="center" vertical="center"/>
    </xf>
    <xf numFmtId="2" fontId="64" fillId="34" borderId="44" xfId="58" applyNumberFormat="1" applyFont="1" applyFill="1" applyBorder="1" applyAlignment="1">
      <alignment horizontal="center" vertical="center"/>
    </xf>
    <xf numFmtId="2" fontId="64" fillId="34" borderId="53" xfId="58" applyNumberFormat="1" applyFont="1" applyFill="1" applyBorder="1" applyAlignment="1">
      <alignment horizontal="center" vertical="center"/>
    </xf>
    <xf numFmtId="0" fontId="1" fillId="36" borderId="14" xfId="0" applyFont="1" applyFill="1" applyBorder="1" applyAlignment="1">
      <alignment horizontal="left" vertical="center"/>
    </xf>
    <xf numFmtId="2" fontId="1" fillId="0" borderId="14" xfId="0" applyNumberFormat="1" applyFont="1" applyBorder="1" applyAlignment="1">
      <alignment horizontal="center"/>
    </xf>
    <xf numFmtId="0" fontId="1" fillId="0" borderId="10" xfId="0" applyFont="1" applyBorder="1" applyAlignment="1">
      <alignment horizontal="center" wrapText="1"/>
    </xf>
    <xf numFmtId="0" fontId="1" fillId="0" borderId="10" xfId="0" applyFont="1" applyFill="1" applyBorder="1" applyAlignment="1">
      <alignment horizontal="center" wrapText="1"/>
    </xf>
    <xf numFmtId="0" fontId="1" fillId="0" borderId="33" xfId="0" applyFont="1" applyBorder="1" applyAlignment="1">
      <alignment horizontal="center" wrapText="1"/>
    </xf>
    <xf numFmtId="166" fontId="1" fillId="0" borderId="54" xfId="0" applyNumberFormat="1" applyFont="1" applyBorder="1" applyAlignment="1">
      <alignment horizontal="center" wrapText="1"/>
    </xf>
    <xf numFmtId="166" fontId="1" fillId="0" borderId="12" xfId="0" applyNumberFormat="1" applyFont="1" applyBorder="1" applyAlignment="1">
      <alignment horizontal="center" wrapText="1"/>
    </xf>
    <xf numFmtId="166" fontId="64" fillId="34" borderId="46" xfId="0" applyNumberFormat="1" applyFont="1" applyFill="1" applyBorder="1" applyAlignment="1">
      <alignment horizontal="center" vertical="center"/>
    </xf>
    <xf numFmtId="3" fontId="70" fillId="2" borderId="42" xfId="0" applyNumberFormat="1" applyFont="1" applyFill="1" applyBorder="1" applyAlignment="1">
      <alignment horizontal="center" vertical="center"/>
    </xf>
    <xf numFmtId="0" fontId="68" fillId="36" borderId="46" xfId="55" applyFont="1" applyFill="1" applyBorder="1" applyAlignment="1">
      <alignment vertical="center"/>
      <protection/>
    </xf>
    <xf numFmtId="166" fontId="1" fillId="0" borderId="12" xfId="0" applyNumberFormat="1" applyFont="1" applyBorder="1" applyAlignment="1">
      <alignment horizontal="center" vertical="center"/>
    </xf>
    <xf numFmtId="3" fontId="72" fillId="34" borderId="15" xfId="0" applyNumberFormat="1" applyFont="1" applyFill="1" applyBorder="1" applyAlignment="1">
      <alignment horizontal="center"/>
    </xf>
    <xf numFmtId="3" fontId="72" fillId="34" borderId="14" xfId="0" applyNumberFormat="1" applyFont="1" applyFill="1" applyBorder="1" applyAlignment="1">
      <alignment horizontal="center"/>
    </xf>
    <xf numFmtId="3" fontId="72" fillId="34" borderId="13" xfId="0" applyNumberFormat="1" applyFont="1" applyFill="1" applyBorder="1" applyAlignment="1">
      <alignment horizontal="center"/>
    </xf>
    <xf numFmtId="0" fontId="64" fillId="34" borderId="36" xfId="0" applyFont="1" applyFill="1" applyBorder="1" applyAlignment="1">
      <alignment horizontal="center"/>
    </xf>
    <xf numFmtId="165" fontId="64" fillId="34" borderId="15" xfId="0" applyNumberFormat="1" applyFont="1" applyFill="1" applyBorder="1" applyAlignment="1">
      <alignment horizontal="center"/>
    </xf>
    <xf numFmtId="165" fontId="64" fillId="34" borderId="14" xfId="0" applyNumberFormat="1" applyFont="1" applyFill="1" applyBorder="1" applyAlignment="1">
      <alignment horizontal="center"/>
    </xf>
    <xf numFmtId="0" fontId="64" fillId="34" borderId="55" xfId="0" applyFont="1" applyFill="1" applyBorder="1" applyAlignment="1">
      <alignment horizontal="center"/>
    </xf>
    <xf numFmtId="165" fontId="64" fillId="34" borderId="13" xfId="0" applyNumberFormat="1" applyFont="1" applyFill="1" applyBorder="1" applyAlignment="1">
      <alignment horizontal="center"/>
    </xf>
    <xf numFmtId="0" fontId="0" fillId="0" borderId="43" xfId="0" applyFont="1" applyBorder="1" applyAlignment="1">
      <alignment/>
    </xf>
    <xf numFmtId="0" fontId="64" fillId="34" borderId="47" xfId="0" applyFont="1" applyFill="1" applyBorder="1" applyAlignment="1">
      <alignment horizontal="center"/>
    </xf>
    <xf numFmtId="167" fontId="70" fillId="2" borderId="44" xfId="55" applyNumberFormat="1" applyFont="1" applyFill="1" applyBorder="1" applyAlignment="1">
      <alignment horizontal="center" vertical="center"/>
      <protection/>
    </xf>
    <xf numFmtId="2" fontId="70" fillId="2" borderId="15" xfId="55" applyNumberFormat="1" applyFont="1" applyFill="1" applyBorder="1" applyAlignment="1">
      <alignment horizontal="center" vertical="center"/>
      <protection/>
    </xf>
    <xf numFmtId="167" fontId="70" fillId="2" borderId="15" xfId="55" applyNumberFormat="1" applyFont="1" applyFill="1" applyBorder="1" applyAlignment="1">
      <alignment horizontal="center" vertical="center"/>
      <protection/>
    </xf>
    <xf numFmtId="0" fontId="1" fillId="36" borderId="15" xfId="55" applyFont="1" applyFill="1" applyBorder="1" applyAlignment="1">
      <alignment vertical="center"/>
      <protection/>
    </xf>
    <xf numFmtId="0" fontId="1" fillId="36" borderId="46" xfId="55" applyFont="1" applyFill="1" applyBorder="1" applyAlignment="1">
      <alignment vertical="center"/>
      <protection/>
    </xf>
    <xf numFmtId="0" fontId="64" fillId="34" borderId="14" xfId="0" applyFont="1" applyFill="1" applyBorder="1" applyAlignment="1">
      <alignment/>
    </xf>
    <xf numFmtId="0" fontId="1" fillId="0" borderId="14" xfId="0" applyFont="1" applyFill="1" applyBorder="1" applyAlignment="1">
      <alignment horizontal="center"/>
    </xf>
    <xf numFmtId="0" fontId="1" fillId="0" borderId="14" xfId="0" applyFont="1" applyBorder="1" applyAlignment="1">
      <alignment horizontal="center" wrapText="1"/>
    </xf>
    <xf numFmtId="0" fontId="1" fillId="0" borderId="14" xfId="0" applyFont="1" applyBorder="1" applyAlignment="1">
      <alignment wrapText="1"/>
    </xf>
    <xf numFmtId="177" fontId="70" fillId="2" borderId="15" xfId="0" applyNumberFormat="1" applyFont="1" applyFill="1" applyBorder="1" applyAlignment="1">
      <alignment horizontal="center" vertical="center"/>
    </xf>
    <xf numFmtId="177" fontId="72" fillId="34" borderId="15" xfId="0" applyNumberFormat="1" applyFont="1" applyFill="1" applyBorder="1" applyAlignment="1">
      <alignment horizontal="center"/>
    </xf>
    <xf numFmtId="177" fontId="72" fillId="34" borderId="14" xfId="0" applyNumberFormat="1" applyFont="1" applyFill="1" applyBorder="1" applyAlignment="1">
      <alignment horizontal="center"/>
    </xf>
    <xf numFmtId="177" fontId="72" fillId="34" borderId="13" xfId="0" applyNumberFormat="1" applyFont="1" applyFill="1" applyBorder="1" applyAlignment="1">
      <alignment horizontal="center"/>
    </xf>
    <xf numFmtId="0" fontId="68" fillId="0" borderId="10" xfId="0" applyFont="1" applyBorder="1" applyAlignment="1">
      <alignment/>
    </xf>
    <xf numFmtId="0" fontId="68" fillId="0" borderId="11" xfId="0" applyFont="1" applyBorder="1" applyAlignment="1">
      <alignment horizontal="center"/>
    </xf>
    <xf numFmtId="0" fontId="68" fillId="0" borderId="11" xfId="0" applyFont="1" applyBorder="1" applyAlignment="1">
      <alignment horizontal="center" wrapText="1"/>
    </xf>
    <xf numFmtId="0" fontId="68" fillId="0" borderId="12" xfId="0" applyFont="1" applyBorder="1" applyAlignment="1">
      <alignment horizontal="center" wrapText="1"/>
    </xf>
    <xf numFmtId="166" fontId="0" fillId="0" borderId="0" xfId="0" applyNumberFormat="1" applyFont="1" applyAlignment="1">
      <alignment/>
    </xf>
    <xf numFmtId="0" fontId="0" fillId="0" borderId="0" xfId="0" applyFont="1" applyAlignment="1">
      <alignment horizontal="center" vertical="center"/>
    </xf>
    <xf numFmtId="166" fontId="0" fillId="0" borderId="0" xfId="0" applyNumberFormat="1" applyFont="1" applyAlignment="1">
      <alignment horizontal="center" vertical="center"/>
    </xf>
    <xf numFmtId="0" fontId="68" fillId="0" borderId="0" xfId="0" applyFont="1" applyAlignment="1">
      <alignment horizontal="center"/>
    </xf>
    <xf numFmtId="0" fontId="68" fillId="0" borderId="0" xfId="0" applyFont="1" applyAlignment="1">
      <alignment horizontal="center" wrapText="1"/>
    </xf>
    <xf numFmtId="0" fontId="0" fillId="2" borderId="14" xfId="0" applyFont="1" applyFill="1" applyBorder="1" applyAlignment="1">
      <alignment/>
    </xf>
    <xf numFmtId="0" fontId="0" fillId="0" borderId="14" xfId="0" applyFont="1" applyBorder="1" applyAlignment="1">
      <alignment horizontal="center"/>
    </xf>
    <xf numFmtId="0" fontId="68" fillId="0" borderId="0" xfId="0" applyFont="1" applyAlignment="1">
      <alignment/>
    </xf>
    <xf numFmtId="0" fontId="71" fillId="2" borderId="14" xfId="0" applyFont="1" applyFill="1" applyBorder="1" applyAlignment="1">
      <alignment horizontal="center" wrapText="1"/>
    </xf>
    <xf numFmtId="0" fontId="0" fillId="0" borderId="0" xfId="0" applyFont="1" applyFill="1" applyAlignment="1">
      <alignment/>
    </xf>
    <xf numFmtId="0" fontId="0" fillId="0" borderId="21" xfId="0" applyFont="1" applyBorder="1" applyAlignment="1">
      <alignment/>
    </xf>
    <xf numFmtId="0" fontId="0" fillId="0" borderId="0" xfId="0" applyFont="1" applyFill="1" applyAlignment="1">
      <alignment horizontal="center" vertical="center"/>
    </xf>
    <xf numFmtId="0" fontId="0" fillId="0" borderId="21" xfId="0" applyFont="1" applyBorder="1" applyAlignment="1">
      <alignment horizontal="center" vertical="center"/>
    </xf>
    <xf numFmtId="0" fontId="1" fillId="0" borderId="0" xfId="0" applyFont="1" applyAlignment="1">
      <alignment/>
    </xf>
    <xf numFmtId="0" fontId="68" fillId="0" borderId="0" xfId="0" applyFont="1" applyAlignment="1">
      <alignment horizontal="right"/>
    </xf>
    <xf numFmtId="0" fontId="68" fillId="0" borderId="0" xfId="0" applyFont="1" applyAlignment="1">
      <alignment horizontal="left"/>
    </xf>
    <xf numFmtId="0" fontId="73" fillId="0" borderId="29" xfId="55" applyFont="1" applyBorder="1">
      <alignment/>
      <protection/>
    </xf>
    <xf numFmtId="0" fontId="0" fillId="0" borderId="29" xfId="0" applyFont="1" applyBorder="1" applyAlignment="1">
      <alignment horizontal="center"/>
    </xf>
    <xf numFmtId="0" fontId="0" fillId="0" borderId="29" xfId="0" applyFont="1" applyBorder="1" applyAlignment="1">
      <alignment/>
    </xf>
    <xf numFmtId="0" fontId="0" fillId="0" borderId="56" xfId="0" applyFont="1" applyBorder="1" applyAlignment="1">
      <alignment/>
    </xf>
    <xf numFmtId="0" fontId="0" fillId="0" borderId="57" xfId="0" applyFont="1" applyBorder="1" applyAlignment="1">
      <alignment/>
    </xf>
    <xf numFmtId="0" fontId="73" fillId="0" borderId="0" xfId="55" applyFont="1" applyBorder="1">
      <alignment/>
      <protection/>
    </xf>
    <xf numFmtId="0" fontId="74" fillId="0" borderId="0" xfId="55" applyFont="1" applyBorder="1">
      <alignment/>
      <protection/>
    </xf>
    <xf numFmtId="0" fontId="73" fillId="0" borderId="19" xfId="55" applyFont="1" applyBorder="1">
      <alignment/>
      <protection/>
    </xf>
    <xf numFmtId="0" fontId="73" fillId="0" borderId="20" xfId="55" applyFont="1" applyBorder="1">
      <alignment/>
      <protection/>
    </xf>
    <xf numFmtId="0" fontId="73" fillId="0" borderId="21" xfId="55" applyFont="1" applyBorder="1">
      <alignment/>
      <protection/>
    </xf>
    <xf numFmtId="0" fontId="73" fillId="0" borderId="26" xfId="55" applyFont="1" applyBorder="1">
      <alignment/>
      <protection/>
    </xf>
    <xf numFmtId="0" fontId="75" fillId="0" borderId="58" xfId="55" applyFont="1" applyBorder="1">
      <alignment/>
      <protection/>
    </xf>
    <xf numFmtId="0" fontId="0" fillId="0" borderId="59" xfId="0" applyFont="1" applyBorder="1" applyAlignment="1">
      <alignment/>
    </xf>
    <xf numFmtId="0" fontId="0" fillId="0" borderId="27" xfId="0" applyFont="1" applyBorder="1" applyAlignment="1">
      <alignment/>
    </xf>
    <xf numFmtId="0" fontId="0" fillId="0" borderId="58" xfId="0" applyFont="1" applyBorder="1" applyAlignment="1">
      <alignment/>
    </xf>
    <xf numFmtId="0" fontId="0" fillId="0" borderId="58" xfId="0" applyFont="1" applyBorder="1" applyAlignment="1">
      <alignment horizont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39" borderId="30"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36" borderId="31" xfId="0" applyFont="1" applyFill="1" applyBorder="1" applyAlignment="1">
      <alignment horizontal="center" vertical="center"/>
    </xf>
    <xf numFmtId="0" fontId="0" fillId="0" borderId="63" xfId="0" applyFont="1" applyBorder="1" applyAlignment="1">
      <alignment/>
    </xf>
    <xf numFmtId="0" fontId="0" fillId="0" borderId="14" xfId="0" applyFont="1" applyFill="1" applyBorder="1" applyAlignment="1">
      <alignment horizontal="center"/>
    </xf>
    <xf numFmtId="0" fontId="64" fillId="40" borderId="14" xfId="0" applyFont="1" applyFill="1" applyBorder="1" applyAlignment="1">
      <alignment horizontal="center" vertical="center"/>
    </xf>
    <xf numFmtId="0" fontId="72" fillId="34" borderId="10" xfId="0" applyFont="1" applyFill="1" applyBorder="1" applyAlignment="1">
      <alignment horizontal="left" vertical="center" wrapText="1"/>
    </xf>
    <xf numFmtId="0" fontId="68" fillId="36" borderId="63" xfId="0" applyFont="1" applyFill="1" applyBorder="1" applyAlignment="1">
      <alignment/>
    </xf>
    <xf numFmtId="2" fontId="71" fillId="2" borderId="49" xfId="0" applyNumberFormat="1" applyFont="1" applyFill="1" applyBorder="1" applyAlignment="1">
      <alignment horizontal="center"/>
    </xf>
    <xf numFmtId="0" fontId="64" fillId="34" borderId="49" xfId="0" applyNumberFormat="1" applyFont="1" applyFill="1" applyBorder="1" applyAlignment="1">
      <alignment horizontal="center" vertical="center"/>
    </xf>
    <xf numFmtId="1" fontId="64" fillId="34" borderId="14" xfId="0" applyNumberFormat="1" applyFont="1" applyFill="1" applyBorder="1" applyAlignment="1">
      <alignment horizontal="center"/>
    </xf>
    <xf numFmtId="0" fontId="9" fillId="0" borderId="0" xfId="0" applyFont="1" applyBorder="1" applyAlignment="1">
      <alignment horizontal="center" vertical="center" wrapText="1"/>
    </xf>
    <xf numFmtId="0" fontId="76" fillId="0" borderId="14" xfId="0" applyFont="1" applyBorder="1" applyAlignment="1">
      <alignment horizontal="center" vertical="center"/>
    </xf>
    <xf numFmtId="0" fontId="9" fillId="0" borderId="14" xfId="0" applyFont="1" applyBorder="1" applyAlignment="1">
      <alignment horizontal="center" vertical="center"/>
    </xf>
    <xf numFmtId="0" fontId="9" fillId="0" borderId="14" xfId="0" applyFont="1" applyBorder="1" applyAlignment="1">
      <alignment horizontal="center" vertical="center" wrapText="1"/>
    </xf>
    <xf numFmtId="0" fontId="76" fillId="27" borderId="49" xfId="0" applyFont="1" applyFill="1" applyBorder="1" applyAlignment="1">
      <alignment horizontal="center" vertical="center" wrapText="1"/>
    </xf>
    <xf numFmtId="0" fontId="76" fillId="27" borderId="15" xfId="0" applyFont="1" applyFill="1" applyBorder="1" applyAlignment="1">
      <alignment horizontal="center" vertical="center" wrapText="1"/>
    </xf>
    <xf numFmtId="0" fontId="15" fillId="0" borderId="0" xfId="0" applyFont="1" applyAlignment="1">
      <alignment/>
    </xf>
    <xf numFmtId="0" fontId="0" fillId="0" borderId="0" xfId="0" applyFont="1" applyFill="1" applyAlignment="1">
      <alignment horizontal="left"/>
    </xf>
    <xf numFmtId="0" fontId="1" fillId="0" borderId="0" xfId="0" applyFont="1" applyAlignment="1">
      <alignment horizontal="left"/>
    </xf>
    <xf numFmtId="166" fontId="3" fillId="0" borderId="0" xfId="0" applyNumberFormat="1" applyFont="1" applyFill="1" applyBorder="1" applyAlignment="1">
      <alignment horizontal="left"/>
    </xf>
    <xf numFmtId="0" fontId="69" fillId="0" borderId="0" xfId="55" applyFont="1" applyAlignment="1">
      <alignment horizontal="left"/>
      <protection/>
    </xf>
    <xf numFmtId="166" fontId="0" fillId="0" borderId="0" xfId="0" applyNumberFormat="1" applyFont="1" applyAlignment="1">
      <alignment horizontal="left"/>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21" xfId="0" applyBorder="1" applyAlignment="1">
      <alignment horizontal="left" vertical="top" wrapText="1"/>
    </xf>
    <xf numFmtId="0" fontId="4" fillId="37" borderId="18" xfId="0" applyFont="1" applyFill="1" applyBorder="1" applyAlignment="1">
      <alignment horizontal="center"/>
    </xf>
    <xf numFmtId="0" fontId="4" fillId="37" borderId="19" xfId="0" applyFont="1" applyFill="1" applyBorder="1" applyAlignment="1">
      <alignment horizontal="center"/>
    </xf>
    <xf numFmtId="0" fontId="4" fillId="37" borderId="20" xfId="0" applyFont="1" applyFill="1" applyBorder="1" applyAlignment="1">
      <alignment horizontal="center"/>
    </xf>
    <xf numFmtId="0" fontId="0" fillId="0" borderId="24" xfId="0" applyFont="1" applyBorder="1" applyAlignment="1">
      <alignment horizontal="left" vertical="center" wrapText="1"/>
    </xf>
    <xf numFmtId="0" fontId="0" fillId="0" borderId="0" xfId="0" applyFont="1" applyBorder="1" applyAlignment="1">
      <alignment horizontal="left" vertical="center" wrapText="1"/>
    </xf>
    <xf numFmtId="0" fontId="0" fillId="0" borderId="21" xfId="0" applyFont="1" applyBorder="1" applyAlignment="1">
      <alignment horizontal="left" vertical="center" wrapText="1"/>
    </xf>
    <xf numFmtId="0" fontId="0" fillId="0" borderId="14" xfId="0" applyFont="1" applyBorder="1" applyAlignment="1">
      <alignment horizontal="left" vertical="center"/>
    </xf>
    <xf numFmtId="0" fontId="0" fillId="0" borderId="0" xfId="0" applyFont="1" applyAlignment="1">
      <alignment horizontal="left" wrapText="1"/>
    </xf>
    <xf numFmtId="0" fontId="77" fillId="0" borderId="0" xfId="0" applyFont="1" applyAlignment="1">
      <alignment horizontal="center"/>
    </xf>
    <xf numFmtId="0" fontId="1" fillId="2" borderId="14" xfId="0" applyFont="1" applyFill="1" applyBorder="1" applyAlignment="1">
      <alignment horizontal="left"/>
    </xf>
    <xf numFmtId="0" fontId="0" fillId="2" borderId="14" xfId="0" applyFont="1" applyFill="1" applyBorder="1" applyAlignment="1">
      <alignment horizontal="left"/>
    </xf>
    <xf numFmtId="0" fontId="1" fillId="2" borderId="63" xfId="0" applyFont="1" applyFill="1" applyBorder="1" applyAlignment="1">
      <alignment horizontal="left"/>
    </xf>
    <xf numFmtId="0" fontId="1" fillId="2" borderId="43" xfId="0" applyFont="1" applyFill="1" applyBorder="1" applyAlignment="1">
      <alignment horizontal="left"/>
    </xf>
    <xf numFmtId="0" fontId="0" fillId="0" borderId="14" xfId="0" applyFont="1" applyBorder="1" applyAlignment="1">
      <alignment horizontal="left" vertical="center" wrapText="1"/>
    </xf>
    <xf numFmtId="0" fontId="15" fillId="0" borderId="0" xfId="0" applyFont="1" applyAlignment="1">
      <alignment horizontal="center"/>
    </xf>
    <xf numFmtId="166" fontId="3" fillId="33" borderId="0" xfId="0" applyNumberFormat="1" applyFont="1" applyFill="1" applyBorder="1" applyAlignment="1">
      <alignment horizontal="center"/>
    </xf>
    <xf numFmtId="0" fontId="0" fillId="0" borderId="63" xfId="0" applyFont="1" applyBorder="1" applyAlignment="1">
      <alignment horizontal="left" wrapText="1"/>
    </xf>
    <xf numFmtId="0" fontId="0" fillId="0" borderId="64" xfId="0" applyFont="1" applyBorder="1" applyAlignment="1">
      <alignment horizontal="left" wrapText="1"/>
    </xf>
    <xf numFmtId="0" fontId="0" fillId="0" borderId="43" xfId="0" applyFont="1" applyBorder="1" applyAlignment="1">
      <alignment horizontal="left" wrapText="1"/>
    </xf>
    <xf numFmtId="0" fontId="0" fillId="0" borderId="14" xfId="0" applyFont="1" applyBorder="1" applyAlignment="1">
      <alignment horizontal="left" wrapText="1"/>
    </xf>
    <xf numFmtId="0" fontId="10" fillId="35" borderId="28" xfId="55" applyFont="1" applyFill="1" applyBorder="1" applyAlignment="1">
      <alignment horizontal="center"/>
      <protection/>
    </xf>
    <xf numFmtId="0" fontId="10" fillId="35" borderId="29" xfId="55" applyFont="1" applyFill="1" applyBorder="1" applyAlignment="1">
      <alignment horizontal="center"/>
      <protection/>
    </xf>
    <xf numFmtId="0" fontId="10" fillId="35" borderId="56" xfId="55" applyFont="1" applyFill="1" applyBorder="1" applyAlignment="1">
      <alignment horizontal="center"/>
      <protection/>
    </xf>
    <xf numFmtId="0" fontId="0" fillId="0" borderId="65" xfId="0" applyFont="1" applyBorder="1" applyAlignment="1">
      <alignment horizontal="center"/>
    </xf>
    <xf numFmtId="0" fontId="0" fillId="0" borderId="66" xfId="0" applyFont="1" applyBorder="1" applyAlignment="1">
      <alignment horizontal="center"/>
    </xf>
    <xf numFmtId="0" fontId="0" fillId="0" borderId="67" xfId="0" applyFont="1" applyBorder="1" applyAlignment="1">
      <alignment horizontal="center"/>
    </xf>
    <xf numFmtId="0" fontId="69" fillId="0" borderId="63" xfId="55" applyFont="1" applyBorder="1" applyAlignment="1">
      <alignment horizontal="left"/>
      <protection/>
    </xf>
    <xf numFmtId="0" fontId="69" fillId="0" borderId="64" xfId="55" applyFont="1" applyBorder="1" applyAlignment="1">
      <alignment horizontal="left"/>
      <protection/>
    </xf>
    <xf numFmtId="0" fontId="69" fillId="0" borderId="43" xfId="55" applyFont="1" applyBorder="1" applyAlignment="1">
      <alignment horizontal="left"/>
      <protection/>
    </xf>
    <xf numFmtId="0" fontId="0" fillId="0" borderId="18"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0" fontId="69" fillId="0" borderId="63" xfId="55" applyFont="1" applyFill="1" applyBorder="1" applyAlignment="1">
      <alignment horizontal="left"/>
      <protection/>
    </xf>
    <xf numFmtId="0" fontId="69" fillId="0" borderId="64" xfId="55" applyFont="1" applyFill="1" applyBorder="1" applyAlignment="1">
      <alignment horizontal="left"/>
      <protection/>
    </xf>
    <xf numFmtId="0" fontId="69" fillId="0" borderId="43" xfId="55" applyFont="1" applyFill="1" applyBorder="1" applyAlignment="1">
      <alignment horizontal="left"/>
      <protection/>
    </xf>
    <xf numFmtId="0" fontId="69" fillId="0" borderId="63" xfId="55" applyFont="1" applyBorder="1" applyAlignment="1">
      <alignment horizontal="left" wrapText="1"/>
      <protection/>
    </xf>
    <xf numFmtId="0" fontId="69" fillId="0" borderId="43" xfId="55" applyFont="1" applyBorder="1" applyAlignment="1">
      <alignment horizontal="left" wrapText="1"/>
      <protection/>
    </xf>
    <xf numFmtId="0" fontId="72" fillId="34" borderId="68" xfId="0" applyFont="1" applyFill="1" applyBorder="1" applyAlignment="1">
      <alignment horizontal="center" vertical="center"/>
    </xf>
    <xf numFmtId="0" fontId="72" fillId="34" borderId="69" xfId="0" applyFont="1" applyFill="1" applyBorder="1" applyAlignment="1">
      <alignment horizontal="center" vertical="center"/>
    </xf>
    <xf numFmtId="0" fontId="69" fillId="0" borderId="63" xfId="55" applyFont="1" applyFill="1" applyBorder="1" applyAlignment="1">
      <alignment horizontal="left" wrapText="1"/>
      <protection/>
    </xf>
    <xf numFmtId="0" fontId="69" fillId="0" borderId="43" xfId="55" applyFont="1" applyFill="1" applyBorder="1" applyAlignment="1">
      <alignment horizontal="left" wrapText="1"/>
      <protection/>
    </xf>
    <xf numFmtId="0" fontId="69" fillId="0" borderId="14" xfId="55" applyFont="1" applyBorder="1" applyAlignment="1">
      <alignment horizontal="left" wrapText="1"/>
      <protection/>
    </xf>
    <xf numFmtId="0" fontId="76" fillId="0" borderId="0"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64</xdr:row>
      <xdr:rowOff>152400</xdr:rowOff>
    </xdr:from>
    <xdr:to>
      <xdr:col>2</xdr:col>
      <xdr:colOff>1028700</xdr:colOff>
      <xdr:row>84</xdr:row>
      <xdr:rowOff>104775</xdr:rowOff>
    </xdr:to>
    <xdr:pic>
      <xdr:nvPicPr>
        <xdr:cNvPr id="1" name="Picture 1"/>
        <xdr:cNvPicPr preferRelativeResize="1">
          <a:picLocks noChangeAspect="1"/>
        </xdr:cNvPicPr>
      </xdr:nvPicPr>
      <xdr:blipFill>
        <a:blip r:embed="rId1"/>
        <a:stretch>
          <a:fillRect/>
        </a:stretch>
      </xdr:blipFill>
      <xdr:spPr>
        <a:xfrm>
          <a:off x="104775" y="10696575"/>
          <a:ext cx="5191125" cy="3190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285750</xdr:colOff>
      <xdr:row>31</xdr:row>
      <xdr:rowOff>66675</xdr:rowOff>
    </xdr:from>
    <xdr:to>
      <xdr:col>4</xdr:col>
      <xdr:colOff>361950</xdr:colOff>
      <xdr:row>35</xdr:row>
      <xdr:rowOff>133350</xdr:rowOff>
    </xdr:to>
    <xdr:pic>
      <xdr:nvPicPr>
        <xdr:cNvPr id="1" name="Picture 1"/>
        <xdr:cNvPicPr preferRelativeResize="1">
          <a:picLocks noChangeAspect="1"/>
        </xdr:cNvPicPr>
      </xdr:nvPicPr>
      <xdr:blipFill>
        <a:blip r:embed="rId1"/>
        <a:stretch>
          <a:fillRect/>
        </a:stretch>
      </xdr:blipFill>
      <xdr:spPr>
        <a:xfrm>
          <a:off x="942975" y="6962775"/>
          <a:ext cx="2952750" cy="714375"/>
        </a:xfrm>
        <a:prstGeom prst="rect">
          <a:avLst/>
        </a:prstGeom>
        <a:noFill/>
        <a:ln w="12700"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91"/>
  <sheetViews>
    <sheetView tabSelected="1" workbookViewId="0" topLeftCell="A1">
      <selection activeCell="A1" sqref="A1:H1"/>
    </sheetView>
  </sheetViews>
  <sheetFormatPr defaultColWidth="9.140625" defaultRowHeight="12.75"/>
  <cols>
    <col min="1" max="1" width="20.421875" style="0" customWidth="1"/>
  </cols>
  <sheetData>
    <row r="1" spans="1:8" ht="15.75">
      <c r="A1" s="354" t="s">
        <v>14</v>
      </c>
      <c r="B1" s="355"/>
      <c r="C1" s="355"/>
      <c r="D1" s="355"/>
      <c r="E1" s="355"/>
      <c r="F1" s="355"/>
      <c r="G1" s="355"/>
      <c r="H1" s="356"/>
    </row>
    <row r="2" spans="1:8" ht="12.75">
      <c r="A2" s="156"/>
      <c r="B2" s="60"/>
      <c r="C2" s="60"/>
      <c r="D2" s="60"/>
      <c r="E2" s="60"/>
      <c r="F2" s="60"/>
      <c r="G2" s="60"/>
      <c r="H2" s="157"/>
    </row>
    <row r="3" spans="1:8" ht="54" customHeight="1">
      <c r="A3" s="357" t="s">
        <v>138</v>
      </c>
      <c r="B3" s="358"/>
      <c r="C3" s="358"/>
      <c r="D3" s="358"/>
      <c r="E3" s="358"/>
      <c r="F3" s="358"/>
      <c r="G3" s="358"/>
      <c r="H3" s="359"/>
    </row>
    <row r="4" spans="1:8" ht="13.5" thickBot="1">
      <c r="A4" s="158"/>
      <c r="B4" s="159"/>
      <c r="C4" s="159"/>
      <c r="D4" s="159"/>
      <c r="E4" s="159"/>
      <c r="F4" s="159"/>
      <c r="G4" s="159"/>
      <c r="H4" s="160"/>
    </row>
    <row r="5" spans="1:8" ht="12.75">
      <c r="A5" s="161"/>
      <c r="B5" s="60"/>
      <c r="C5" s="60"/>
      <c r="D5" s="60"/>
      <c r="E5" s="60"/>
      <c r="F5" s="60"/>
      <c r="G5" s="60"/>
      <c r="H5" s="157"/>
    </row>
    <row r="6" spans="1:8" ht="12.75">
      <c r="A6" s="171" t="s">
        <v>213</v>
      </c>
      <c r="B6" s="60"/>
      <c r="C6" s="174" t="s">
        <v>216</v>
      </c>
      <c r="D6" s="60"/>
      <c r="E6" s="60"/>
      <c r="F6" s="60"/>
      <c r="G6" s="60"/>
      <c r="H6" s="157"/>
    </row>
    <row r="7" spans="1:8" ht="12.75">
      <c r="A7" s="172" t="s">
        <v>214</v>
      </c>
      <c r="B7" s="60"/>
      <c r="C7" s="174" t="s">
        <v>217</v>
      </c>
      <c r="D7" s="60"/>
      <c r="E7" s="60"/>
      <c r="F7" s="60"/>
      <c r="G7" s="60"/>
      <c r="H7" s="157"/>
    </row>
    <row r="8" spans="1:8" ht="12.75">
      <c r="A8" s="173" t="s">
        <v>215</v>
      </c>
      <c r="B8" s="60"/>
      <c r="C8" s="174" t="s">
        <v>218</v>
      </c>
      <c r="D8" s="60"/>
      <c r="E8" s="60"/>
      <c r="F8" s="60"/>
      <c r="G8" s="60"/>
      <c r="H8" s="157"/>
    </row>
    <row r="9" spans="1:8" ht="13.5" thickBot="1">
      <c r="A9" s="161"/>
      <c r="B9" s="60"/>
      <c r="C9" s="60"/>
      <c r="D9" s="60"/>
      <c r="E9" s="60"/>
      <c r="F9" s="60"/>
      <c r="G9" s="60"/>
      <c r="H9" s="157"/>
    </row>
    <row r="10" spans="1:8" ht="15.75" customHeight="1">
      <c r="A10" s="354" t="s">
        <v>137</v>
      </c>
      <c r="B10" s="355"/>
      <c r="C10" s="355"/>
      <c r="D10" s="355"/>
      <c r="E10" s="355"/>
      <c r="F10" s="355"/>
      <c r="G10" s="355"/>
      <c r="H10" s="356"/>
    </row>
    <row r="11" spans="1:8" ht="12.75">
      <c r="A11" s="161"/>
      <c r="B11" s="60"/>
      <c r="C11" s="60"/>
      <c r="D11" s="60"/>
      <c r="E11" s="60"/>
      <c r="F11" s="60"/>
      <c r="G11" s="60"/>
      <c r="H11" s="157"/>
    </row>
    <row r="12" spans="1:8" ht="87" customHeight="1">
      <c r="A12" s="357" t="s">
        <v>139</v>
      </c>
      <c r="B12" s="358"/>
      <c r="C12" s="358"/>
      <c r="D12" s="358"/>
      <c r="E12" s="358"/>
      <c r="F12" s="358"/>
      <c r="G12" s="358"/>
      <c r="H12" s="359"/>
    </row>
    <row r="13" spans="1:8" ht="12.75">
      <c r="A13" s="161"/>
      <c r="B13" s="60"/>
      <c r="C13" s="60"/>
      <c r="D13" s="60"/>
      <c r="E13" s="60"/>
      <c r="F13" s="60"/>
      <c r="G13" s="60"/>
      <c r="H13" s="157"/>
    </row>
    <row r="14" spans="1:8" ht="64.5" customHeight="1">
      <c r="A14" s="162" t="s">
        <v>13</v>
      </c>
      <c r="B14" s="351" t="s">
        <v>140</v>
      </c>
      <c r="C14" s="352"/>
      <c r="D14" s="352"/>
      <c r="E14" s="352"/>
      <c r="F14" s="352"/>
      <c r="G14" s="352"/>
      <c r="H14" s="353"/>
    </row>
    <row r="15" spans="1:8" ht="12.75">
      <c r="A15" s="162"/>
      <c r="B15" s="163"/>
      <c r="C15" s="164"/>
      <c r="D15" s="164"/>
      <c r="E15" s="164"/>
      <c r="F15" s="164"/>
      <c r="G15" s="164"/>
      <c r="H15" s="165"/>
    </row>
    <row r="16" spans="1:8" ht="57" customHeight="1">
      <c r="A16" s="166" t="s">
        <v>142</v>
      </c>
      <c r="B16" s="351" t="s">
        <v>141</v>
      </c>
      <c r="C16" s="352"/>
      <c r="D16" s="352"/>
      <c r="E16" s="352"/>
      <c r="F16" s="352"/>
      <c r="G16" s="352"/>
      <c r="H16" s="353"/>
    </row>
    <row r="17" spans="1:8" ht="13.5" thickBot="1">
      <c r="A17" s="161"/>
      <c r="B17" s="60"/>
      <c r="C17" s="60"/>
      <c r="D17" s="60"/>
      <c r="E17" s="60"/>
      <c r="F17" s="60"/>
      <c r="G17" s="60"/>
      <c r="H17" s="157"/>
    </row>
    <row r="18" spans="1:8" ht="18.75">
      <c r="A18" s="354" t="s">
        <v>386</v>
      </c>
      <c r="B18" s="355"/>
      <c r="C18" s="355"/>
      <c r="D18" s="355"/>
      <c r="E18" s="355"/>
      <c r="F18" s="355"/>
      <c r="G18" s="355"/>
      <c r="H18" s="356"/>
    </row>
    <row r="19" spans="1:8" ht="12.75">
      <c r="A19" s="161"/>
      <c r="B19" s="60"/>
      <c r="C19" s="60"/>
      <c r="D19" s="60"/>
      <c r="E19" s="60"/>
      <c r="F19" s="60"/>
      <c r="G19" s="60"/>
      <c r="H19" s="157"/>
    </row>
    <row r="20" spans="1:8" ht="30" customHeight="1">
      <c r="A20" s="357" t="s">
        <v>387</v>
      </c>
      <c r="B20" s="358"/>
      <c r="C20" s="358"/>
      <c r="D20" s="358"/>
      <c r="E20" s="358"/>
      <c r="F20" s="358"/>
      <c r="G20" s="358"/>
      <c r="H20" s="359"/>
    </row>
    <row r="21" spans="1:8" ht="12.75">
      <c r="A21" s="161"/>
      <c r="B21" s="60"/>
      <c r="C21" s="60"/>
      <c r="D21" s="60"/>
      <c r="E21" s="60"/>
      <c r="F21" s="60"/>
      <c r="G21" s="60"/>
      <c r="H21" s="157"/>
    </row>
    <row r="22" spans="1:8" ht="12.75">
      <c r="A22" s="162" t="s">
        <v>13</v>
      </c>
      <c r="B22" s="351" t="s">
        <v>18</v>
      </c>
      <c r="C22" s="352"/>
      <c r="D22" s="352"/>
      <c r="E22" s="352"/>
      <c r="F22" s="352"/>
      <c r="G22" s="352"/>
      <c r="H22" s="353"/>
    </row>
    <row r="23" spans="1:8" ht="12.75">
      <c r="A23" s="161"/>
      <c r="B23" s="60"/>
      <c r="C23" s="60"/>
      <c r="D23" s="60"/>
      <c r="E23" s="60"/>
      <c r="F23" s="60"/>
      <c r="G23" s="60"/>
      <c r="H23" s="157"/>
    </row>
    <row r="24" spans="1:8" ht="44.25" customHeight="1">
      <c r="A24" s="166" t="s">
        <v>19</v>
      </c>
      <c r="B24" s="351" t="s">
        <v>143</v>
      </c>
      <c r="C24" s="352"/>
      <c r="D24" s="352"/>
      <c r="E24" s="352"/>
      <c r="F24" s="352"/>
      <c r="G24" s="352"/>
      <c r="H24" s="353"/>
    </row>
    <row r="25" spans="1:8" ht="13.5" thickBot="1">
      <c r="A25" s="158"/>
      <c r="B25" s="159"/>
      <c r="C25" s="159"/>
      <c r="D25" s="159"/>
      <c r="E25" s="159"/>
      <c r="F25" s="159"/>
      <c r="G25" s="159"/>
      <c r="H25" s="160"/>
    </row>
    <row r="26" spans="1:8" ht="18.75">
      <c r="A26" s="354" t="s">
        <v>144</v>
      </c>
      <c r="B26" s="355"/>
      <c r="C26" s="355"/>
      <c r="D26" s="355"/>
      <c r="E26" s="355"/>
      <c r="F26" s="355"/>
      <c r="G26" s="355"/>
      <c r="H26" s="356"/>
    </row>
    <row r="27" spans="1:8" ht="12.75">
      <c r="A27" s="161"/>
      <c r="B27" s="60"/>
      <c r="C27" s="60"/>
      <c r="D27" s="60"/>
      <c r="E27" s="60"/>
      <c r="F27" s="60"/>
      <c r="G27" s="60"/>
      <c r="H27" s="157"/>
    </row>
    <row r="28" spans="1:8" ht="39.75" customHeight="1">
      <c r="A28" s="357" t="s">
        <v>388</v>
      </c>
      <c r="B28" s="358"/>
      <c r="C28" s="358"/>
      <c r="D28" s="358"/>
      <c r="E28" s="358"/>
      <c r="F28" s="358"/>
      <c r="G28" s="358"/>
      <c r="H28" s="359"/>
    </row>
    <row r="29" spans="1:8" ht="12.75">
      <c r="A29" s="161"/>
      <c r="B29" s="60"/>
      <c r="C29" s="60"/>
      <c r="D29" s="60"/>
      <c r="E29" s="60"/>
      <c r="F29" s="60"/>
      <c r="G29" s="60"/>
      <c r="H29" s="157"/>
    </row>
    <row r="30" spans="1:8" ht="12.75">
      <c r="A30" s="162" t="s">
        <v>13</v>
      </c>
      <c r="B30" s="351" t="s">
        <v>18</v>
      </c>
      <c r="C30" s="352"/>
      <c r="D30" s="352"/>
      <c r="E30" s="352"/>
      <c r="F30" s="352"/>
      <c r="G30" s="352"/>
      <c r="H30" s="353"/>
    </row>
    <row r="31" spans="1:8" ht="12.75">
      <c r="A31" s="161"/>
      <c r="B31" s="60"/>
      <c r="C31" s="60"/>
      <c r="D31" s="60"/>
      <c r="E31" s="60"/>
      <c r="F31" s="60"/>
      <c r="G31" s="60"/>
      <c r="H31" s="157"/>
    </row>
    <row r="32" spans="1:8" ht="44.25" customHeight="1">
      <c r="A32" s="166" t="s">
        <v>19</v>
      </c>
      <c r="B32" s="351" t="s">
        <v>145</v>
      </c>
      <c r="C32" s="352"/>
      <c r="D32" s="352"/>
      <c r="E32" s="352"/>
      <c r="F32" s="352"/>
      <c r="G32" s="352"/>
      <c r="H32" s="353"/>
    </row>
    <row r="33" spans="1:8" ht="13.5" thickBot="1">
      <c r="A33" s="161"/>
      <c r="B33" s="60"/>
      <c r="C33" s="60"/>
      <c r="D33" s="60"/>
      <c r="E33" s="60"/>
      <c r="F33" s="60"/>
      <c r="G33" s="60"/>
      <c r="H33" s="157"/>
    </row>
    <row r="34" spans="1:8" ht="15.75">
      <c r="A34" s="354" t="s">
        <v>17</v>
      </c>
      <c r="B34" s="355"/>
      <c r="C34" s="355"/>
      <c r="D34" s="355"/>
      <c r="E34" s="355"/>
      <c r="F34" s="355"/>
      <c r="G34" s="355"/>
      <c r="H34" s="356"/>
    </row>
    <row r="35" spans="1:8" ht="12.75">
      <c r="A35" s="161"/>
      <c r="B35" s="60"/>
      <c r="C35" s="60"/>
      <c r="D35" s="60"/>
      <c r="E35" s="60"/>
      <c r="F35" s="60"/>
      <c r="G35" s="60"/>
      <c r="H35" s="157"/>
    </row>
    <row r="36" spans="1:8" ht="30.75" customHeight="1">
      <c r="A36" s="357" t="s">
        <v>389</v>
      </c>
      <c r="B36" s="358"/>
      <c r="C36" s="358"/>
      <c r="D36" s="358"/>
      <c r="E36" s="358"/>
      <c r="F36" s="358"/>
      <c r="G36" s="358"/>
      <c r="H36" s="359"/>
    </row>
    <row r="37" spans="1:8" ht="12.75">
      <c r="A37" s="161"/>
      <c r="B37" s="60"/>
      <c r="C37" s="60"/>
      <c r="D37" s="60"/>
      <c r="E37" s="60"/>
      <c r="F37" s="60"/>
      <c r="G37" s="60"/>
      <c r="H37" s="157"/>
    </row>
    <row r="38" spans="1:8" ht="38.25" customHeight="1">
      <c r="A38" s="162" t="s">
        <v>13</v>
      </c>
      <c r="B38" s="351" t="s">
        <v>390</v>
      </c>
      <c r="C38" s="352"/>
      <c r="D38" s="352"/>
      <c r="E38" s="352"/>
      <c r="F38" s="352"/>
      <c r="G38" s="352"/>
      <c r="H38" s="353"/>
    </row>
    <row r="39" spans="1:8" ht="12.75">
      <c r="A39" s="161"/>
      <c r="B39" s="60"/>
      <c r="C39" s="60"/>
      <c r="D39" s="60"/>
      <c r="E39" s="60"/>
      <c r="F39" s="60"/>
      <c r="G39" s="60"/>
      <c r="H39" s="157"/>
    </row>
    <row r="40" spans="1:8" ht="40.5" customHeight="1">
      <c r="A40" s="166" t="s">
        <v>15</v>
      </c>
      <c r="B40" s="351" t="s">
        <v>145</v>
      </c>
      <c r="C40" s="352"/>
      <c r="D40" s="352"/>
      <c r="E40" s="352"/>
      <c r="F40" s="352"/>
      <c r="G40" s="352"/>
      <c r="H40" s="353"/>
    </row>
    <row r="41" spans="1:8" ht="13.5" thickBot="1">
      <c r="A41" s="158"/>
      <c r="B41" s="159"/>
      <c r="C41" s="159"/>
      <c r="D41" s="159"/>
      <c r="E41" s="159"/>
      <c r="F41" s="159"/>
      <c r="G41" s="159"/>
      <c r="H41" s="160"/>
    </row>
    <row r="42" spans="1:8" ht="15.75">
      <c r="A42" s="354" t="s">
        <v>125</v>
      </c>
      <c r="B42" s="355"/>
      <c r="C42" s="355"/>
      <c r="D42" s="355"/>
      <c r="E42" s="355"/>
      <c r="F42" s="355"/>
      <c r="G42" s="355"/>
      <c r="H42" s="356"/>
    </row>
    <row r="43" spans="1:8" ht="12.75">
      <c r="A43" s="161"/>
      <c r="B43" s="60"/>
      <c r="C43" s="60"/>
      <c r="D43" s="60"/>
      <c r="E43" s="60"/>
      <c r="F43" s="60"/>
      <c r="G43" s="60"/>
      <c r="H43" s="157"/>
    </row>
    <row r="44" spans="1:8" ht="29.25" customHeight="1">
      <c r="A44" s="357" t="s">
        <v>190</v>
      </c>
      <c r="B44" s="358"/>
      <c r="C44" s="358"/>
      <c r="D44" s="358"/>
      <c r="E44" s="358"/>
      <c r="F44" s="358"/>
      <c r="G44" s="358"/>
      <c r="H44" s="359"/>
    </row>
    <row r="45" spans="1:8" ht="12.75">
      <c r="A45" s="161"/>
      <c r="B45" s="60"/>
      <c r="C45" s="60"/>
      <c r="D45" s="60"/>
      <c r="E45" s="60"/>
      <c r="F45" s="60"/>
      <c r="G45" s="60"/>
      <c r="H45" s="157"/>
    </row>
    <row r="46" spans="1:8" ht="30" customHeight="1">
      <c r="A46" s="162" t="s">
        <v>13</v>
      </c>
      <c r="B46" s="351" t="s">
        <v>191</v>
      </c>
      <c r="C46" s="352"/>
      <c r="D46" s="352"/>
      <c r="E46" s="352"/>
      <c r="F46" s="352"/>
      <c r="G46" s="352"/>
      <c r="H46" s="353"/>
    </row>
    <row r="47" spans="1:8" ht="12.75">
      <c r="A47" s="162"/>
      <c r="B47" s="163"/>
      <c r="C47" s="164"/>
      <c r="D47" s="164"/>
      <c r="E47" s="164"/>
      <c r="F47" s="164"/>
      <c r="G47" s="164"/>
      <c r="H47" s="165"/>
    </row>
    <row r="48" spans="1:8" ht="43.5" customHeight="1">
      <c r="A48" s="166" t="s">
        <v>15</v>
      </c>
      <c r="B48" s="351" t="s">
        <v>145</v>
      </c>
      <c r="C48" s="352"/>
      <c r="D48" s="352"/>
      <c r="E48" s="352"/>
      <c r="F48" s="352"/>
      <c r="G48" s="352"/>
      <c r="H48" s="353"/>
    </row>
    <row r="49" spans="1:8" ht="13.5" thickBot="1">
      <c r="A49" s="161"/>
      <c r="B49" s="60"/>
      <c r="C49" s="60"/>
      <c r="D49" s="60"/>
      <c r="E49" s="60"/>
      <c r="F49" s="60"/>
      <c r="G49" s="60"/>
      <c r="H49" s="157"/>
    </row>
    <row r="50" spans="1:8" ht="15.75">
      <c r="A50" s="354" t="s">
        <v>16</v>
      </c>
      <c r="B50" s="355"/>
      <c r="C50" s="355"/>
      <c r="D50" s="355"/>
      <c r="E50" s="355"/>
      <c r="F50" s="355"/>
      <c r="G50" s="355"/>
      <c r="H50" s="356"/>
    </row>
    <row r="51" spans="1:8" ht="12.75">
      <c r="A51" s="161"/>
      <c r="B51" s="60"/>
      <c r="C51" s="60"/>
      <c r="D51" s="60"/>
      <c r="E51" s="60"/>
      <c r="F51" s="60"/>
      <c r="G51" s="60"/>
      <c r="H51" s="157"/>
    </row>
    <row r="52" spans="1:8" ht="29.25" customHeight="1">
      <c r="A52" s="357" t="s">
        <v>411</v>
      </c>
      <c r="B52" s="358"/>
      <c r="C52" s="358"/>
      <c r="D52" s="358"/>
      <c r="E52" s="358"/>
      <c r="F52" s="358"/>
      <c r="G52" s="358"/>
      <c r="H52" s="359"/>
    </row>
    <row r="53" spans="1:8" ht="12.75">
      <c r="A53" s="161"/>
      <c r="B53" s="60"/>
      <c r="C53" s="60"/>
      <c r="D53" s="60"/>
      <c r="E53" s="60"/>
      <c r="F53" s="60"/>
      <c r="G53" s="60"/>
      <c r="H53" s="157"/>
    </row>
    <row r="54" spans="1:8" ht="42" customHeight="1">
      <c r="A54" s="162" t="s">
        <v>13</v>
      </c>
      <c r="B54" s="351" t="s">
        <v>391</v>
      </c>
      <c r="C54" s="352"/>
      <c r="D54" s="352"/>
      <c r="E54" s="352"/>
      <c r="F54" s="352"/>
      <c r="G54" s="352"/>
      <c r="H54" s="353"/>
    </row>
    <row r="55" spans="1:8" ht="12.75">
      <c r="A55" s="162"/>
      <c r="B55" s="163"/>
      <c r="C55" s="164"/>
      <c r="D55" s="164"/>
      <c r="E55" s="164"/>
      <c r="F55" s="164"/>
      <c r="G55" s="164"/>
      <c r="H55" s="165"/>
    </row>
    <row r="56" spans="1:8" ht="43.5" customHeight="1">
      <c r="A56" s="166" t="s">
        <v>15</v>
      </c>
      <c r="B56" s="351" t="s">
        <v>145</v>
      </c>
      <c r="C56" s="352"/>
      <c r="D56" s="352"/>
      <c r="E56" s="352"/>
      <c r="F56" s="352"/>
      <c r="G56" s="352"/>
      <c r="H56" s="353"/>
    </row>
    <row r="57" spans="1:8" ht="13.5" thickBot="1">
      <c r="A57" s="167"/>
      <c r="B57" s="168"/>
      <c r="C57" s="169"/>
      <c r="D57" s="169"/>
      <c r="E57" s="169"/>
      <c r="F57" s="169"/>
      <c r="G57" s="169"/>
      <c r="H57" s="170"/>
    </row>
    <row r="58" spans="1:8" ht="15.75">
      <c r="A58" s="354" t="s">
        <v>149</v>
      </c>
      <c r="B58" s="355"/>
      <c r="C58" s="355"/>
      <c r="D58" s="355"/>
      <c r="E58" s="355"/>
      <c r="F58" s="355"/>
      <c r="G58" s="355"/>
      <c r="H58" s="356"/>
    </row>
    <row r="59" spans="1:8" ht="12.75">
      <c r="A59" s="161"/>
      <c r="B59" s="60"/>
      <c r="C59" s="60"/>
      <c r="D59" s="60"/>
      <c r="E59" s="60"/>
      <c r="F59" s="60"/>
      <c r="G59" s="60"/>
      <c r="H59" s="157"/>
    </row>
    <row r="60" spans="1:8" ht="56.25" customHeight="1">
      <c r="A60" s="357" t="s">
        <v>320</v>
      </c>
      <c r="B60" s="358"/>
      <c r="C60" s="358"/>
      <c r="D60" s="358"/>
      <c r="E60" s="358"/>
      <c r="F60" s="358"/>
      <c r="G60" s="358"/>
      <c r="H60" s="359"/>
    </row>
    <row r="61" spans="1:8" ht="12.75">
      <c r="A61" s="161"/>
      <c r="B61" s="60"/>
      <c r="C61" s="60"/>
      <c r="D61" s="60"/>
      <c r="E61" s="60"/>
      <c r="F61" s="60"/>
      <c r="G61" s="60"/>
      <c r="H61" s="157"/>
    </row>
    <row r="62" spans="1:8" ht="42" customHeight="1">
      <c r="A62" s="162" t="s">
        <v>13</v>
      </c>
      <c r="B62" s="351" t="s">
        <v>192</v>
      </c>
      <c r="C62" s="352"/>
      <c r="D62" s="352"/>
      <c r="E62" s="352"/>
      <c r="F62" s="352"/>
      <c r="G62" s="352"/>
      <c r="H62" s="353"/>
    </row>
    <row r="63" spans="1:8" ht="12.75">
      <c r="A63" s="162"/>
      <c r="B63" s="163"/>
      <c r="C63" s="164"/>
      <c r="D63" s="164"/>
      <c r="E63" s="164"/>
      <c r="F63" s="164"/>
      <c r="G63" s="164"/>
      <c r="H63" s="165"/>
    </row>
    <row r="64" spans="1:8" ht="43.5" customHeight="1">
      <c r="A64" s="166" t="s">
        <v>15</v>
      </c>
      <c r="B64" s="351" t="s">
        <v>145</v>
      </c>
      <c r="C64" s="352"/>
      <c r="D64" s="352"/>
      <c r="E64" s="352"/>
      <c r="F64" s="352"/>
      <c r="G64" s="352"/>
      <c r="H64" s="353"/>
    </row>
    <row r="65" spans="1:8" ht="13.5" thickBot="1">
      <c r="A65" s="162"/>
      <c r="B65" s="163"/>
      <c r="C65" s="164"/>
      <c r="D65" s="164"/>
      <c r="E65" s="164"/>
      <c r="F65" s="164"/>
      <c r="G65" s="164"/>
      <c r="H65" s="165"/>
    </row>
    <row r="66" spans="1:8" ht="15.75">
      <c r="A66" s="354" t="s">
        <v>11</v>
      </c>
      <c r="B66" s="355"/>
      <c r="C66" s="355"/>
      <c r="D66" s="355"/>
      <c r="E66" s="355"/>
      <c r="F66" s="355"/>
      <c r="G66" s="355"/>
      <c r="H66" s="356"/>
    </row>
    <row r="67" spans="1:8" ht="12.75">
      <c r="A67" s="161"/>
      <c r="B67" s="60"/>
      <c r="C67" s="60"/>
      <c r="D67" s="60"/>
      <c r="E67" s="60"/>
      <c r="F67" s="60"/>
      <c r="G67" s="60"/>
      <c r="H67" s="157"/>
    </row>
    <row r="68" spans="1:8" ht="16.5" customHeight="1">
      <c r="A68" s="357" t="s">
        <v>193</v>
      </c>
      <c r="B68" s="358"/>
      <c r="C68" s="358"/>
      <c r="D68" s="358"/>
      <c r="E68" s="358"/>
      <c r="F68" s="358"/>
      <c r="G68" s="358"/>
      <c r="H68" s="359"/>
    </row>
    <row r="69" spans="1:8" ht="12.75">
      <c r="A69" s="161"/>
      <c r="B69" s="60"/>
      <c r="C69" s="60"/>
      <c r="D69" s="60"/>
      <c r="E69" s="60"/>
      <c r="F69" s="60"/>
      <c r="G69" s="60"/>
      <c r="H69" s="157"/>
    </row>
    <row r="70" spans="1:8" ht="44.25" customHeight="1">
      <c r="A70" s="162" t="s">
        <v>13</v>
      </c>
      <c r="B70" s="351" t="s">
        <v>208</v>
      </c>
      <c r="C70" s="352"/>
      <c r="D70" s="352"/>
      <c r="E70" s="352"/>
      <c r="F70" s="352"/>
      <c r="G70" s="352"/>
      <c r="H70" s="353"/>
    </row>
    <row r="71" spans="1:8" ht="12.75">
      <c r="A71" s="162"/>
      <c r="B71" s="163"/>
      <c r="C71" s="164"/>
      <c r="D71" s="164"/>
      <c r="E71" s="164"/>
      <c r="F71" s="164"/>
      <c r="G71" s="164"/>
      <c r="H71" s="165"/>
    </row>
    <row r="72" spans="1:8" ht="43.5" customHeight="1">
      <c r="A72" s="166" t="s">
        <v>15</v>
      </c>
      <c r="B72" s="351" t="s">
        <v>145</v>
      </c>
      <c r="C72" s="352"/>
      <c r="D72" s="352"/>
      <c r="E72" s="352"/>
      <c r="F72" s="352"/>
      <c r="G72" s="352"/>
      <c r="H72" s="353"/>
    </row>
    <row r="73" spans="1:8" ht="13.5" thickBot="1">
      <c r="A73" s="167"/>
      <c r="B73" s="168"/>
      <c r="C73" s="169"/>
      <c r="D73" s="169"/>
      <c r="E73" s="169"/>
      <c r="F73" s="169"/>
      <c r="G73" s="169"/>
      <c r="H73" s="170"/>
    </row>
    <row r="74" spans="1:8" ht="15.75">
      <c r="A74" s="354" t="s">
        <v>12</v>
      </c>
      <c r="B74" s="355"/>
      <c r="C74" s="355"/>
      <c r="D74" s="355"/>
      <c r="E74" s="355"/>
      <c r="F74" s="355"/>
      <c r="G74" s="355"/>
      <c r="H74" s="356"/>
    </row>
    <row r="75" spans="1:8" ht="12.75">
      <c r="A75" s="161"/>
      <c r="B75" s="60"/>
      <c r="C75" s="60"/>
      <c r="D75" s="60"/>
      <c r="E75" s="60"/>
      <c r="F75" s="60"/>
      <c r="G75" s="60"/>
      <c r="H75" s="157"/>
    </row>
    <row r="76" spans="1:8" ht="36.75" customHeight="1">
      <c r="A76" s="357" t="s">
        <v>206</v>
      </c>
      <c r="B76" s="358"/>
      <c r="C76" s="358"/>
      <c r="D76" s="358"/>
      <c r="E76" s="358"/>
      <c r="F76" s="358"/>
      <c r="G76" s="358"/>
      <c r="H76" s="359"/>
    </row>
    <row r="77" spans="1:8" ht="12.75">
      <c r="A77" s="161"/>
      <c r="B77" s="60"/>
      <c r="C77" s="60"/>
      <c r="D77" s="60"/>
      <c r="E77" s="60"/>
      <c r="F77" s="60"/>
      <c r="G77" s="60"/>
      <c r="H77" s="157"/>
    </row>
    <row r="78" spans="1:8" ht="12.75">
      <c r="A78" s="162" t="s">
        <v>13</v>
      </c>
      <c r="B78" s="351" t="s">
        <v>18</v>
      </c>
      <c r="C78" s="352"/>
      <c r="D78" s="352"/>
      <c r="E78" s="352"/>
      <c r="F78" s="352"/>
      <c r="G78" s="352"/>
      <c r="H78" s="353"/>
    </row>
    <row r="79" spans="1:8" ht="12.75">
      <c r="A79" s="162"/>
      <c r="B79" s="163"/>
      <c r="C79" s="164"/>
      <c r="D79" s="164"/>
      <c r="E79" s="164"/>
      <c r="F79" s="164"/>
      <c r="G79" s="164"/>
      <c r="H79" s="165"/>
    </row>
    <row r="80" spans="1:8" ht="43.5" customHeight="1">
      <c r="A80" s="166" t="s">
        <v>15</v>
      </c>
      <c r="B80" s="351" t="s">
        <v>145</v>
      </c>
      <c r="C80" s="352"/>
      <c r="D80" s="352"/>
      <c r="E80" s="352"/>
      <c r="F80" s="352"/>
      <c r="G80" s="352"/>
      <c r="H80" s="353"/>
    </row>
    <row r="81" spans="1:8" ht="13.5" thickBot="1">
      <c r="A81" s="162"/>
      <c r="B81" s="163"/>
      <c r="C81" s="164"/>
      <c r="D81" s="164"/>
      <c r="E81" s="164"/>
      <c r="F81" s="164"/>
      <c r="G81" s="164"/>
      <c r="H81" s="165"/>
    </row>
    <row r="82" spans="1:8" ht="15.75">
      <c r="A82" s="354" t="s">
        <v>20</v>
      </c>
      <c r="B82" s="355"/>
      <c r="C82" s="355"/>
      <c r="D82" s="355"/>
      <c r="E82" s="355"/>
      <c r="F82" s="355"/>
      <c r="G82" s="355"/>
      <c r="H82" s="356"/>
    </row>
    <row r="83" spans="1:8" ht="12.75">
      <c r="A83" s="156"/>
      <c r="B83" s="60"/>
      <c r="C83" s="60"/>
      <c r="D83" s="60"/>
      <c r="E83" s="60"/>
      <c r="F83" s="60"/>
      <c r="G83" s="60"/>
      <c r="H83" s="157"/>
    </row>
    <row r="84" spans="1:8" ht="40.5" customHeight="1">
      <c r="A84" s="357" t="s">
        <v>207</v>
      </c>
      <c r="B84" s="358"/>
      <c r="C84" s="358"/>
      <c r="D84" s="358"/>
      <c r="E84" s="358"/>
      <c r="F84" s="358"/>
      <c r="G84" s="358"/>
      <c r="H84" s="359"/>
    </row>
    <row r="85" spans="1:8" ht="12.75">
      <c r="A85" s="161"/>
      <c r="B85" s="60"/>
      <c r="C85" s="60"/>
      <c r="D85" s="60"/>
      <c r="E85" s="60"/>
      <c r="F85" s="60"/>
      <c r="G85" s="60"/>
      <c r="H85" s="157"/>
    </row>
    <row r="86" spans="1:8" ht="12.75">
      <c r="A86" s="162" t="s">
        <v>13</v>
      </c>
      <c r="B86" s="351" t="s">
        <v>18</v>
      </c>
      <c r="C86" s="352"/>
      <c r="D86" s="352"/>
      <c r="E86" s="352"/>
      <c r="F86" s="352"/>
      <c r="G86" s="352"/>
      <c r="H86" s="353"/>
    </row>
    <row r="87" spans="1:8" ht="13.5" thickBot="1">
      <c r="A87" s="158"/>
      <c r="B87" s="159"/>
      <c r="C87" s="159"/>
      <c r="D87" s="159"/>
      <c r="E87" s="159"/>
      <c r="F87" s="159"/>
      <c r="G87" s="159"/>
      <c r="H87" s="160"/>
    </row>
    <row r="88" spans="1:8" ht="15.75">
      <c r="A88" s="354" t="s">
        <v>209</v>
      </c>
      <c r="B88" s="355"/>
      <c r="C88" s="355"/>
      <c r="D88" s="355"/>
      <c r="E88" s="355"/>
      <c r="F88" s="355"/>
      <c r="G88" s="355"/>
      <c r="H88" s="356"/>
    </row>
    <row r="89" spans="1:8" ht="12.75">
      <c r="A89" s="156"/>
      <c r="B89" s="60"/>
      <c r="C89" s="60"/>
      <c r="D89" s="60"/>
      <c r="E89" s="60"/>
      <c r="F89" s="60"/>
      <c r="G89" s="60"/>
      <c r="H89" s="157"/>
    </row>
    <row r="90" spans="1:8" ht="33.75" customHeight="1">
      <c r="A90" s="357" t="s">
        <v>210</v>
      </c>
      <c r="B90" s="358"/>
      <c r="C90" s="358"/>
      <c r="D90" s="358"/>
      <c r="E90" s="358"/>
      <c r="F90" s="358"/>
      <c r="G90" s="358"/>
      <c r="H90" s="359"/>
    </row>
    <row r="91" spans="1:8" ht="13.5" thickBot="1">
      <c r="A91" s="158"/>
      <c r="B91" s="159"/>
      <c r="C91" s="159"/>
      <c r="D91" s="159"/>
      <c r="E91" s="159"/>
      <c r="F91" s="159"/>
      <c r="G91" s="159"/>
      <c r="H91" s="160"/>
    </row>
  </sheetData>
  <sheetProtection/>
  <mergeCells count="43">
    <mergeCell ref="A88:H88"/>
    <mergeCell ref="A90:H90"/>
    <mergeCell ref="A18:H18"/>
    <mergeCell ref="A34:H34"/>
    <mergeCell ref="A36:H36"/>
    <mergeCell ref="A20:H20"/>
    <mergeCell ref="B22:H22"/>
    <mergeCell ref="B24:H24"/>
    <mergeCell ref="A26:H26"/>
    <mergeCell ref="A84:H84"/>
    <mergeCell ref="B86:H86"/>
    <mergeCell ref="A74:H74"/>
    <mergeCell ref="A82:H82"/>
    <mergeCell ref="A50:H50"/>
    <mergeCell ref="A52:H52"/>
    <mergeCell ref="B54:H54"/>
    <mergeCell ref="B80:H80"/>
    <mergeCell ref="A66:H66"/>
    <mergeCell ref="A68:H68"/>
    <mergeCell ref="B70:H70"/>
    <mergeCell ref="A3:H3"/>
    <mergeCell ref="B16:H16"/>
    <mergeCell ref="A10:H10"/>
    <mergeCell ref="A1:H1"/>
    <mergeCell ref="A12:H12"/>
    <mergeCell ref="B14:H14"/>
    <mergeCell ref="A28:H28"/>
    <mergeCell ref="B78:H78"/>
    <mergeCell ref="B30:H30"/>
    <mergeCell ref="B32:H32"/>
    <mergeCell ref="A76:H76"/>
    <mergeCell ref="B56:H56"/>
    <mergeCell ref="B38:H38"/>
    <mergeCell ref="B40:H40"/>
    <mergeCell ref="A42:H42"/>
    <mergeCell ref="A44:H44"/>
    <mergeCell ref="B72:H72"/>
    <mergeCell ref="B46:H46"/>
    <mergeCell ref="B48:H48"/>
    <mergeCell ref="A58:H58"/>
    <mergeCell ref="A60:H60"/>
    <mergeCell ref="B62:H62"/>
    <mergeCell ref="B64:H64"/>
  </mergeCells>
  <printOptions horizontalCentered="1"/>
  <pageMargins left="0.7" right="0.7" top="0.75" bottom="0.75" header="0.3" footer="0.3"/>
  <pageSetup horizontalDpi="600" verticalDpi="600" orientation="portrait" r:id="rId1"/>
  <headerFooter>
    <oddHeader>&amp;C&amp;"Arial,Bold"&amp;12BMP Calculation Spreadsheet - Instructions</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J40"/>
  <sheetViews>
    <sheetView workbookViewId="0" topLeftCell="A1">
      <selection activeCell="A1" sqref="A1:F1"/>
    </sheetView>
  </sheetViews>
  <sheetFormatPr defaultColWidth="9.140625" defaultRowHeight="12.75"/>
  <cols>
    <col min="1" max="1" width="9.8515625" style="20" customWidth="1"/>
    <col min="2" max="3" width="14.8515625" style="20" customWidth="1"/>
    <col min="4" max="5" width="13.421875" style="20" customWidth="1"/>
    <col min="6" max="6" width="16.00390625" style="292" customWidth="1"/>
    <col min="7" max="7" width="14.57421875" style="292" customWidth="1"/>
    <col min="8" max="8" width="11.57421875" style="292" customWidth="1"/>
    <col min="9" max="10" width="11.28125" style="292" customWidth="1"/>
    <col min="11" max="16384" width="9.140625" style="20" customWidth="1"/>
  </cols>
  <sheetData>
    <row r="1" spans="1:10" ht="24" customHeight="1">
      <c r="A1" s="368" t="s">
        <v>12</v>
      </c>
      <c r="B1" s="368"/>
      <c r="C1" s="368"/>
      <c r="D1" s="368"/>
      <c r="E1" s="368"/>
      <c r="F1" s="368"/>
      <c r="G1" s="305"/>
      <c r="H1" s="305"/>
      <c r="I1" s="305"/>
      <c r="J1" s="305"/>
    </row>
    <row r="2" spans="1:10" ht="13.5" thickBot="1">
      <c r="A2" s="13"/>
      <c r="B2" s="13"/>
      <c r="C2" s="13"/>
      <c r="D2" s="13"/>
      <c r="E2" s="13"/>
      <c r="F2" s="13"/>
      <c r="G2" s="13"/>
      <c r="H2" s="13"/>
      <c r="I2" s="13"/>
      <c r="J2" s="13"/>
    </row>
    <row r="3" spans="1:10" ht="39" thickBot="1">
      <c r="A3" s="2" t="s">
        <v>6</v>
      </c>
      <c r="B3" s="87" t="s">
        <v>94</v>
      </c>
      <c r="C3" s="87" t="s">
        <v>150</v>
      </c>
      <c r="D3" s="17" t="s">
        <v>93</v>
      </c>
      <c r="E3" s="3" t="s">
        <v>197</v>
      </c>
      <c r="F3" s="4" t="s">
        <v>327</v>
      </c>
      <c r="I3" s="20"/>
      <c r="J3" s="20"/>
    </row>
    <row r="4" spans="1:10" ht="13.5" thickTop="1">
      <c r="A4" s="145" t="s">
        <v>322</v>
      </c>
      <c r="B4" s="93">
        <v>0.5</v>
      </c>
      <c r="C4" s="93">
        <v>0.4</v>
      </c>
      <c r="D4" s="150">
        <v>0.025</v>
      </c>
      <c r="E4" s="149">
        <f>D4*43560</f>
        <v>1089</v>
      </c>
      <c r="F4" s="261">
        <v>1</v>
      </c>
      <c r="I4" s="20"/>
      <c r="J4" s="20"/>
    </row>
    <row r="5" spans="1:10" ht="12.75">
      <c r="A5" s="18" t="s">
        <v>323</v>
      </c>
      <c r="B5" s="94">
        <v>0.35</v>
      </c>
      <c r="C5" s="94">
        <v>0.35</v>
      </c>
      <c r="D5" s="151">
        <v>0.02</v>
      </c>
      <c r="E5" s="149">
        <f>D5*43560</f>
        <v>871.2</v>
      </c>
      <c r="F5" s="234">
        <v>1.5</v>
      </c>
      <c r="I5" s="20"/>
      <c r="J5" s="20"/>
    </row>
    <row r="6" spans="1:10" ht="12.75">
      <c r="A6" s="18" t="s">
        <v>324</v>
      </c>
      <c r="B6" s="94">
        <v>0</v>
      </c>
      <c r="C6" s="94">
        <v>0</v>
      </c>
      <c r="D6" s="151">
        <v>0</v>
      </c>
      <c r="E6" s="149">
        <f>D6*43560</f>
        <v>0</v>
      </c>
      <c r="F6" s="234">
        <v>0</v>
      </c>
      <c r="I6" s="20"/>
      <c r="J6" s="20"/>
    </row>
    <row r="7" spans="1:10" ht="12.75">
      <c r="A7" s="18" t="s">
        <v>325</v>
      </c>
      <c r="B7" s="94">
        <v>0</v>
      </c>
      <c r="C7" s="94">
        <v>0</v>
      </c>
      <c r="D7" s="151">
        <v>0</v>
      </c>
      <c r="E7" s="149">
        <f>D7*43560</f>
        <v>0</v>
      </c>
      <c r="F7" s="234">
        <v>0</v>
      </c>
      <c r="I7" s="20"/>
      <c r="J7" s="20"/>
    </row>
    <row r="8" spans="1:10" ht="13.5" thickBot="1">
      <c r="A8" s="19" t="s">
        <v>326</v>
      </c>
      <c r="B8" s="95">
        <v>0</v>
      </c>
      <c r="C8" s="95">
        <v>0</v>
      </c>
      <c r="D8" s="152">
        <v>0</v>
      </c>
      <c r="E8" s="262">
        <f>D8*43560</f>
        <v>0</v>
      </c>
      <c r="F8" s="233">
        <v>0</v>
      </c>
      <c r="I8" s="20"/>
      <c r="J8" s="20"/>
    </row>
    <row r="9" spans="1:10" ht="12.75">
      <c r="A9" s="293"/>
      <c r="B9" s="293"/>
      <c r="C9" s="293"/>
      <c r="D9" s="293"/>
      <c r="E9" s="293"/>
      <c r="F9" s="294"/>
      <c r="G9" s="294"/>
      <c r="H9" s="294"/>
      <c r="I9" s="20"/>
      <c r="J9" s="20"/>
    </row>
    <row r="10" spans="1:10" ht="12.75">
      <c r="A10" s="293"/>
      <c r="B10" s="293"/>
      <c r="C10" s="293"/>
      <c r="D10" s="293"/>
      <c r="F10" s="108" t="s">
        <v>321</v>
      </c>
      <c r="G10" s="294"/>
      <c r="H10" s="294"/>
      <c r="I10" s="20"/>
      <c r="J10" s="20"/>
    </row>
    <row r="11" spans="1:10" ht="12.75">
      <c r="A11" s="293"/>
      <c r="B11" s="293"/>
      <c r="C11" s="153">
        <f>SUM(C4:C8)</f>
        <v>0.75</v>
      </c>
      <c r="D11" s="255" t="s">
        <v>99</v>
      </c>
      <c r="E11" s="293"/>
      <c r="F11" s="294"/>
      <c r="G11" s="294"/>
      <c r="H11" s="294"/>
      <c r="I11" s="20"/>
      <c r="J11" s="20"/>
    </row>
    <row r="12" spans="1:10" ht="12.75">
      <c r="A12" s="293"/>
      <c r="B12" s="293"/>
      <c r="C12" s="293"/>
      <c r="D12" s="96" t="s">
        <v>151</v>
      </c>
      <c r="E12" s="293"/>
      <c r="F12" s="294"/>
      <c r="G12" s="294"/>
      <c r="H12" s="294"/>
      <c r="I12" s="20"/>
      <c r="J12" s="20"/>
    </row>
    <row r="13" spans="1:10" ht="13.5" thickBot="1">
      <c r="A13" s="293"/>
      <c r="B13" s="293"/>
      <c r="C13" s="293"/>
      <c r="D13" s="293"/>
      <c r="E13" s="293"/>
      <c r="F13" s="294"/>
      <c r="G13" s="294"/>
      <c r="H13" s="294"/>
      <c r="I13" s="20"/>
      <c r="J13" s="20"/>
    </row>
    <row r="14" spans="1:10" ht="64.5" thickBot="1">
      <c r="A14" s="2" t="s">
        <v>6</v>
      </c>
      <c r="B14" s="144" t="s">
        <v>194</v>
      </c>
      <c r="C14" s="17" t="s">
        <v>195</v>
      </c>
      <c r="D14" s="17" t="s">
        <v>196</v>
      </c>
      <c r="E14" s="3" t="s">
        <v>328</v>
      </c>
      <c r="F14" s="264" t="s">
        <v>251</v>
      </c>
      <c r="G14" s="294"/>
      <c r="H14" s="20"/>
      <c r="I14" s="20"/>
      <c r="J14" s="20"/>
    </row>
    <row r="15" spans="1:10" ht="13.5" thickTop="1">
      <c r="A15" s="145" t="s">
        <v>322</v>
      </c>
      <c r="B15" s="142">
        <v>0.35</v>
      </c>
      <c r="C15" s="143">
        <v>48</v>
      </c>
      <c r="D15" s="149">
        <f>IF(E4=0,0,E4/(B15*F4/12*C15))</f>
        <v>777.8571428571429</v>
      </c>
      <c r="E15" s="265">
        <v>800</v>
      </c>
      <c r="F15" s="263" t="str">
        <f>IF(E15&lt;D15,"CHECK DESIGN","Good")</f>
        <v>Good</v>
      </c>
      <c r="G15" s="294"/>
      <c r="H15" s="20"/>
      <c r="I15" s="20"/>
      <c r="J15" s="20"/>
    </row>
    <row r="16" spans="1:10" ht="12.75">
      <c r="A16" s="18" t="s">
        <v>323</v>
      </c>
      <c r="B16" s="140">
        <v>0.35</v>
      </c>
      <c r="C16" s="141">
        <v>48</v>
      </c>
      <c r="D16" s="149">
        <f>IF(E5=0,0,E5/(B16*F5/12*C16))</f>
        <v>414.85714285714295</v>
      </c>
      <c r="E16" s="266">
        <v>430</v>
      </c>
      <c r="F16" s="193" t="str">
        <f>IF(E16&lt;D16,"CHECK DESIGN","Good")</f>
        <v>Good</v>
      </c>
      <c r="G16" s="294"/>
      <c r="H16" s="20"/>
      <c r="I16" s="20"/>
      <c r="J16" s="20"/>
    </row>
    <row r="17" spans="1:10" ht="12.75">
      <c r="A17" s="18" t="s">
        <v>324</v>
      </c>
      <c r="B17" s="140">
        <v>0.35</v>
      </c>
      <c r="C17" s="141">
        <v>48</v>
      </c>
      <c r="D17" s="149">
        <f>IF(E6=0,0,E6/(B17*F6/12*C17))</f>
        <v>0</v>
      </c>
      <c r="E17" s="266">
        <v>0</v>
      </c>
      <c r="F17" s="193" t="str">
        <f>IF(E17&lt;D17,"CHECK DESIGN","Good")</f>
        <v>Good</v>
      </c>
      <c r="G17" s="294"/>
      <c r="H17" s="20"/>
      <c r="I17" s="20"/>
      <c r="J17" s="20"/>
    </row>
    <row r="18" spans="1:10" ht="12.75">
      <c r="A18" s="18" t="s">
        <v>325</v>
      </c>
      <c r="B18" s="140">
        <v>0.35</v>
      </c>
      <c r="C18" s="141">
        <v>48</v>
      </c>
      <c r="D18" s="149">
        <f>IF(E7=0,0,E7/(B18*F7/12*C18))</f>
        <v>0</v>
      </c>
      <c r="E18" s="266">
        <v>0</v>
      </c>
      <c r="F18" s="193" t="str">
        <f>IF(E18&lt;D18,"CHECK DESIGN","Good")</f>
        <v>Good</v>
      </c>
      <c r="G18" s="294"/>
      <c r="H18" s="20"/>
      <c r="I18" s="20"/>
      <c r="J18" s="20"/>
    </row>
    <row r="19" spans="1:10" ht="13.5" thickBot="1">
      <c r="A19" s="19" t="s">
        <v>326</v>
      </c>
      <c r="B19" s="146">
        <v>0.35</v>
      </c>
      <c r="C19" s="147">
        <v>48</v>
      </c>
      <c r="D19" s="262">
        <f>IF(E8=0,0,E8/(B19*F8/12*C19))</f>
        <v>0</v>
      </c>
      <c r="E19" s="267">
        <v>0</v>
      </c>
      <c r="F19" s="194" t="str">
        <f>IF(E19&lt;D19,"CHECK DESIGN","Good")</f>
        <v>Good</v>
      </c>
      <c r="G19" s="294"/>
      <c r="H19" s="20"/>
      <c r="I19" s="20"/>
      <c r="J19" s="20"/>
    </row>
    <row r="20" spans="1:10" ht="12.75">
      <c r="A20" s="293"/>
      <c r="B20" s="293"/>
      <c r="C20" s="293"/>
      <c r="D20" s="293"/>
      <c r="E20" s="293"/>
      <c r="F20" s="294"/>
      <c r="G20" s="294"/>
      <c r="H20" s="294"/>
      <c r="I20" s="294"/>
      <c r="J20" s="294"/>
    </row>
    <row r="21" spans="1:10" ht="12.75">
      <c r="A21" s="369" t="s">
        <v>22</v>
      </c>
      <c r="B21" s="369"/>
      <c r="C21" s="369"/>
      <c r="D21" s="369"/>
      <c r="E21" s="293"/>
      <c r="F21" s="294"/>
      <c r="G21" s="294"/>
      <c r="H21" s="294"/>
      <c r="I21" s="294"/>
      <c r="J21" s="294"/>
    </row>
    <row r="22" spans="1:10" ht="12.75">
      <c r="A22" s="293"/>
      <c r="B22" s="293"/>
      <c r="C22" s="293"/>
      <c r="D22" s="293"/>
      <c r="E22" s="293"/>
      <c r="F22" s="294"/>
      <c r="G22" s="294"/>
      <c r="H22" s="294"/>
      <c r="I22" s="294"/>
      <c r="J22" s="294"/>
    </row>
    <row r="23" spans="1:10" ht="12.75">
      <c r="A23" s="71" t="s">
        <v>75</v>
      </c>
      <c r="B23" s="72"/>
      <c r="E23" s="295" t="s">
        <v>166</v>
      </c>
      <c r="F23" s="296" t="s">
        <v>167</v>
      </c>
      <c r="G23" s="294"/>
      <c r="H23" s="294"/>
      <c r="I23" s="294"/>
      <c r="J23" s="294"/>
    </row>
    <row r="24" spans="1:10" ht="25.5" customHeight="1">
      <c r="A24" s="395" t="s">
        <v>332</v>
      </c>
      <c r="B24" s="395"/>
      <c r="C24" s="395"/>
      <c r="D24" s="395"/>
      <c r="E24" s="178" t="s">
        <v>8</v>
      </c>
      <c r="F24" s="185" t="str">
        <f>IF(E24="Yes","Good","CHECK DESIGN")</f>
        <v>Good</v>
      </c>
      <c r="G24" s="294"/>
      <c r="H24" s="294"/>
      <c r="I24" s="294"/>
      <c r="J24" s="294"/>
    </row>
    <row r="25" spans="1:10" ht="12.75" customHeight="1">
      <c r="A25" s="395" t="s">
        <v>333</v>
      </c>
      <c r="B25" s="395"/>
      <c r="C25" s="395"/>
      <c r="D25" s="395"/>
      <c r="E25" s="178" t="s">
        <v>8</v>
      </c>
      <c r="F25" s="185" t="str">
        <f>IF(E25="Yes","Good","CHECK DESIGN")</f>
        <v>Good</v>
      </c>
      <c r="G25" s="294"/>
      <c r="H25" s="294"/>
      <c r="I25" s="294"/>
      <c r="J25" s="294"/>
    </row>
    <row r="26" spans="1:10" ht="27" customHeight="1">
      <c r="A26" s="395" t="s">
        <v>418</v>
      </c>
      <c r="B26" s="395"/>
      <c r="C26" s="395"/>
      <c r="D26" s="395"/>
      <c r="E26" s="178" t="s">
        <v>8</v>
      </c>
      <c r="F26" s="185" t="str">
        <f>IF(E26="Yes","Good","CHECK DESIGN")</f>
        <v>Good</v>
      </c>
      <c r="G26" s="294"/>
      <c r="H26" s="294"/>
      <c r="I26" s="294"/>
      <c r="J26" s="294"/>
    </row>
    <row r="27" spans="1:10" ht="39.75" customHeight="1">
      <c r="A27" s="395" t="s">
        <v>343</v>
      </c>
      <c r="B27" s="395"/>
      <c r="C27" s="395"/>
      <c r="D27" s="395"/>
      <c r="E27" s="178" t="s">
        <v>8</v>
      </c>
      <c r="F27" s="185" t="str">
        <f>IF(E27="Yes","Good","CHECK DESIGN")</f>
        <v>Good</v>
      </c>
      <c r="G27" s="294"/>
      <c r="H27" s="294"/>
      <c r="I27" s="294"/>
      <c r="J27" s="294"/>
    </row>
    <row r="28" spans="1:10" ht="12.75">
      <c r="A28" s="293"/>
      <c r="B28" s="293"/>
      <c r="C28" s="293"/>
      <c r="D28" s="293"/>
      <c r="E28" s="293"/>
      <c r="F28" s="294"/>
      <c r="G28" s="294"/>
      <c r="H28" s="294"/>
      <c r="I28" s="294"/>
      <c r="J28" s="294"/>
    </row>
    <row r="29" spans="1:10" ht="12.75">
      <c r="A29" s="293"/>
      <c r="B29" s="293"/>
      <c r="C29" s="293"/>
      <c r="D29" s="293"/>
      <c r="E29" s="293"/>
      <c r="F29" s="294"/>
      <c r="G29" s="294"/>
      <c r="H29" s="294"/>
      <c r="I29" s="294"/>
      <c r="J29" s="294"/>
    </row>
    <row r="30" spans="1:10" ht="12.75">
      <c r="A30" s="148" t="s">
        <v>198</v>
      </c>
      <c r="B30" s="293"/>
      <c r="C30" s="293"/>
      <c r="D30" s="293"/>
      <c r="E30" s="293"/>
      <c r="F30" s="294"/>
      <c r="G30" s="294"/>
      <c r="H30" s="294"/>
      <c r="I30" s="294"/>
      <c r="J30" s="294"/>
    </row>
    <row r="31" spans="1:10" ht="12.75">
      <c r="A31" s="96">
        <v>1</v>
      </c>
      <c r="B31" s="148" t="s">
        <v>199</v>
      </c>
      <c r="C31" s="293"/>
      <c r="D31" s="293"/>
      <c r="E31" s="293"/>
      <c r="F31" s="294"/>
      <c r="G31" s="294"/>
      <c r="H31" s="294"/>
      <c r="I31" s="294"/>
      <c r="J31" s="294"/>
    </row>
    <row r="32" spans="1:10" ht="12.75">
      <c r="A32" s="96"/>
      <c r="B32" s="148"/>
      <c r="C32" s="293"/>
      <c r="D32" s="293"/>
      <c r="E32" s="293"/>
      <c r="F32" s="294"/>
      <c r="G32" s="294"/>
      <c r="H32" s="294"/>
      <c r="I32" s="294"/>
      <c r="J32" s="294"/>
    </row>
    <row r="33" spans="1:10" ht="12.75">
      <c r="A33" s="96"/>
      <c r="B33" s="148"/>
      <c r="C33" s="293"/>
      <c r="D33" s="293"/>
      <c r="E33" s="293"/>
      <c r="F33" s="294"/>
      <c r="G33" s="294"/>
      <c r="H33" s="294"/>
      <c r="I33" s="294"/>
      <c r="J33" s="294"/>
    </row>
    <row r="34" spans="1:10" ht="12.75">
      <c r="A34" s="96"/>
      <c r="B34" s="148"/>
      <c r="C34" s="293"/>
      <c r="D34" s="293"/>
      <c r="E34" s="293"/>
      <c r="F34" s="294"/>
      <c r="G34" s="294"/>
      <c r="H34" s="294"/>
      <c r="I34" s="294"/>
      <c r="J34" s="294"/>
    </row>
    <row r="35" spans="1:10" ht="12.75">
      <c r="A35" s="96"/>
      <c r="B35" s="148"/>
      <c r="C35" s="293"/>
      <c r="D35" s="293"/>
      <c r="E35" s="293"/>
      <c r="F35" s="294"/>
      <c r="G35" s="294"/>
      <c r="H35" s="294"/>
      <c r="I35" s="294"/>
      <c r="J35" s="294"/>
    </row>
    <row r="36" spans="1:10" ht="12.75">
      <c r="A36" s="96"/>
      <c r="B36" s="148"/>
      <c r="C36" s="293"/>
      <c r="D36" s="293"/>
      <c r="E36" s="293"/>
      <c r="F36" s="294"/>
      <c r="G36" s="294"/>
      <c r="H36" s="294"/>
      <c r="I36" s="294"/>
      <c r="J36" s="294"/>
    </row>
    <row r="37" spans="1:10" ht="12.75">
      <c r="A37" s="96">
        <v>2</v>
      </c>
      <c r="B37" s="148" t="s">
        <v>200</v>
      </c>
      <c r="C37" s="293"/>
      <c r="D37" s="293"/>
      <c r="E37" s="293"/>
      <c r="F37" s="294"/>
      <c r="G37" s="294"/>
      <c r="H37" s="294"/>
      <c r="I37" s="294"/>
      <c r="J37" s="294"/>
    </row>
    <row r="38" spans="1:10" ht="12.75">
      <c r="A38" s="96">
        <v>3</v>
      </c>
      <c r="B38" s="148" t="s">
        <v>201</v>
      </c>
      <c r="C38" s="293"/>
      <c r="D38" s="293"/>
      <c r="E38" s="293"/>
      <c r="F38" s="294"/>
      <c r="G38" s="294"/>
      <c r="H38" s="294"/>
      <c r="I38" s="294"/>
      <c r="J38" s="294"/>
    </row>
    <row r="39" spans="1:10" ht="12.75">
      <c r="A39" s="96"/>
      <c r="B39" s="293"/>
      <c r="C39" s="293"/>
      <c r="D39" s="293"/>
      <c r="E39" s="293"/>
      <c r="F39" s="294"/>
      <c r="G39" s="294"/>
      <c r="H39" s="294"/>
      <c r="I39" s="294"/>
      <c r="J39" s="294"/>
    </row>
    <row r="40" spans="1:10" ht="12.75">
      <c r="A40" s="293"/>
      <c r="B40" s="293"/>
      <c r="C40" s="293"/>
      <c r="D40" s="293"/>
      <c r="E40" s="293"/>
      <c r="F40" s="294"/>
      <c r="G40" s="294"/>
      <c r="H40" s="294"/>
      <c r="I40" s="294"/>
      <c r="J40" s="294"/>
    </row>
  </sheetData>
  <sheetProtection/>
  <mergeCells count="6">
    <mergeCell ref="A26:D26"/>
    <mergeCell ref="A27:D27"/>
    <mergeCell ref="A1:F1"/>
    <mergeCell ref="A21:D21"/>
    <mergeCell ref="A25:D25"/>
    <mergeCell ref="A24:D24"/>
  </mergeCells>
  <dataValidations count="1">
    <dataValidation type="list" allowBlank="1" showInputMessage="1" showErrorMessage="1" sqref="E24:E27">
      <formula1>YesNo</formula1>
    </dataValidation>
  </dataValidations>
  <printOptions/>
  <pageMargins left="0.7" right="0.7" top="0.75" bottom="0.75" header="0.3" footer="0.3"/>
  <pageSetup horizontalDpi="600" verticalDpi="600" orientation="portrait" r:id="rId3"/>
  <headerFooter>
    <oddHeader>&amp;L&amp;G&amp;C&amp;"Garamond,Bold"&amp;14&amp;K009969Ohio Department of Transportation - Office of Hydraulic Engineering&amp;"Arial,Bold"&amp;10&amp;K000000
&amp;11Post-Construction BMP Calculation Spreadsheet</oddHeader>
    <oddFooter>&amp;RSpreadsheet Template
Updated January 2019</oddFooter>
  </headerFooter>
  <drawing r:id="rId1"/>
  <legacyDrawingHF r:id="rId2"/>
</worksheet>
</file>

<file path=xl/worksheets/sheet11.xml><?xml version="1.0" encoding="utf-8"?>
<worksheet xmlns="http://schemas.openxmlformats.org/spreadsheetml/2006/main" xmlns:r="http://schemas.openxmlformats.org/officeDocument/2006/relationships">
  <dimension ref="A1:J43"/>
  <sheetViews>
    <sheetView workbookViewId="0" topLeftCell="A1">
      <selection activeCell="A1" sqref="A1:F1"/>
    </sheetView>
  </sheetViews>
  <sheetFormatPr defaultColWidth="9.140625" defaultRowHeight="12.75"/>
  <cols>
    <col min="1" max="1" width="9.8515625" style="20" customWidth="1"/>
    <col min="2" max="3" width="14.8515625" style="20" customWidth="1"/>
    <col min="4" max="5" width="13.421875" style="20" customWidth="1"/>
    <col min="6" max="6" width="16.00390625" style="292" customWidth="1"/>
    <col min="7" max="7" width="14.57421875" style="292" customWidth="1"/>
    <col min="8" max="8" width="11.57421875" style="292" customWidth="1"/>
    <col min="9" max="10" width="11.28125" style="292" customWidth="1"/>
    <col min="11" max="16384" width="9.140625" style="20" customWidth="1"/>
  </cols>
  <sheetData>
    <row r="1" spans="1:10" ht="24" customHeight="1">
      <c r="A1" s="368" t="s">
        <v>20</v>
      </c>
      <c r="B1" s="368"/>
      <c r="C1" s="368"/>
      <c r="D1" s="368"/>
      <c r="E1" s="368"/>
      <c r="F1" s="368"/>
      <c r="G1" s="305"/>
      <c r="H1" s="305"/>
      <c r="I1" s="305"/>
      <c r="J1" s="305"/>
    </row>
    <row r="2" spans="1:10" ht="13.5" thickBot="1">
      <c r="A2" s="13"/>
      <c r="B2" s="13"/>
      <c r="C2" s="13"/>
      <c r="D2" s="13"/>
      <c r="E2" s="13"/>
      <c r="F2" s="13"/>
      <c r="G2" s="13"/>
      <c r="H2" s="13"/>
      <c r="I2" s="13"/>
      <c r="J2" s="13"/>
    </row>
    <row r="3" spans="1:10" ht="39" thickBot="1">
      <c r="A3" s="2" t="s">
        <v>6</v>
      </c>
      <c r="B3" s="87" t="s">
        <v>94</v>
      </c>
      <c r="C3" s="87" t="s">
        <v>150</v>
      </c>
      <c r="D3" s="17" t="s">
        <v>93</v>
      </c>
      <c r="E3" s="3" t="s">
        <v>197</v>
      </c>
      <c r="F3" s="4" t="s">
        <v>327</v>
      </c>
      <c r="I3" s="20"/>
      <c r="J3" s="20"/>
    </row>
    <row r="4" spans="1:10" ht="13.5" thickTop="1">
      <c r="A4" s="145" t="s">
        <v>322</v>
      </c>
      <c r="B4" s="93">
        <v>8</v>
      </c>
      <c r="C4" s="93">
        <v>6.5</v>
      </c>
      <c r="D4" s="150">
        <v>0.347</v>
      </c>
      <c r="E4" s="149">
        <f>D4*43560</f>
        <v>15115.32</v>
      </c>
      <c r="F4" s="261">
        <v>1</v>
      </c>
      <c r="I4" s="20"/>
      <c r="J4" s="20"/>
    </row>
    <row r="5" spans="1:10" ht="12.75">
      <c r="A5" s="18" t="s">
        <v>323</v>
      </c>
      <c r="B5" s="94">
        <v>0</v>
      </c>
      <c r="C5" s="94">
        <v>0</v>
      </c>
      <c r="D5" s="151">
        <v>0</v>
      </c>
      <c r="E5" s="149">
        <f>D5*43560</f>
        <v>0</v>
      </c>
      <c r="F5" s="234">
        <v>0</v>
      </c>
      <c r="I5" s="20"/>
      <c r="J5" s="20"/>
    </row>
    <row r="6" spans="1:10" ht="12.75">
      <c r="A6" s="18" t="s">
        <v>324</v>
      </c>
      <c r="B6" s="94">
        <v>0</v>
      </c>
      <c r="C6" s="94">
        <v>0</v>
      </c>
      <c r="D6" s="151">
        <v>0</v>
      </c>
      <c r="E6" s="149">
        <f>D6*43560</f>
        <v>0</v>
      </c>
      <c r="F6" s="234">
        <v>0</v>
      </c>
      <c r="I6" s="20"/>
      <c r="J6" s="20"/>
    </row>
    <row r="7" spans="1:10" ht="12.75">
      <c r="A7" s="18" t="s">
        <v>325</v>
      </c>
      <c r="B7" s="94">
        <v>0</v>
      </c>
      <c r="C7" s="94">
        <v>0</v>
      </c>
      <c r="D7" s="151">
        <v>0</v>
      </c>
      <c r="E7" s="149">
        <f>D7*43560</f>
        <v>0</v>
      </c>
      <c r="F7" s="234">
        <v>0</v>
      </c>
      <c r="I7" s="20"/>
      <c r="J7" s="20"/>
    </row>
    <row r="8" spans="1:10" ht="13.5" thickBot="1">
      <c r="A8" s="19" t="s">
        <v>326</v>
      </c>
      <c r="B8" s="95">
        <v>0</v>
      </c>
      <c r="C8" s="95">
        <v>0</v>
      </c>
      <c r="D8" s="152">
        <v>0</v>
      </c>
      <c r="E8" s="262">
        <f>D8*43560</f>
        <v>0</v>
      </c>
      <c r="F8" s="233">
        <v>0</v>
      </c>
      <c r="I8" s="20"/>
      <c r="J8" s="20"/>
    </row>
    <row r="9" spans="1:10" ht="12.75">
      <c r="A9" s="293"/>
      <c r="B9" s="293"/>
      <c r="C9" s="293"/>
      <c r="D9" s="293"/>
      <c r="E9" s="293"/>
      <c r="F9" s="294"/>
      <c r="G9" s="294"/>
      <c r="H9" s="294"/>
      <c r="I9" s="20"/>
      <c r="J9" s="20"/>
    </row>
    <row r="10" spans="1:10" ht="12.75">
      <c r="A10" s="293"/>
      <c r="B10" s="293"/>
      <c r="C10" s="293"/>
      <c r="D10" s="293"/>
      <c r="F10" s="108" t="s">
        <v>337</v>
      </c>
      <c r="G10" s="294"/>
      <c r="H10" s="294"/>
      <c r="I10" s="20"/>
      <c r="J10" s="20"/>
    </row>
    <row r="11" spans="1:10" ht="12.75">
      <c r="A11" s="293"/>
      <c r="B11" s="293"/>
      <c r="C11" s="153">
        <f>SUM(C4:C8)</f>
        <v>6.5</v>
      </c>
      <c r="D11" s="255" t="s">
        <v>99</v>
      </c>
      <c r="E11" s="293"/>
      <c r="F11" s="294"/>
      <c r="G11" s="294"/>
      <c r="H11" s="294"/>
      <c r="I11" s="20"/>
      <c r="J11" s="20"/>
    </row>
    <row r="12" spans="1:10" ht="12.75">
      <c r="A12" s="293"/>
      <c r="B12" s="293"/>
      <c r="C12" s="293"/>
      <c r="D12" s="96" t="s">
        <v>151</v>
      </c>
      <c r="E12" s="293"/>
      <c r="F12" s="294"/>
      <c r="G12" s="294"/>
      <c r="H12" s="294"/>
      <c r="I12" s="20"/>
      <c r="J12" s="20"/>
    </row>
    <row r="13" spans="1:10" ht="13.5" thickBot="1">
      <c r="A13" s="293"/>
      <c r="B13" s="293"/>
      <c r="C13" s="293"/>
      <c r="D13" s="293"/>
      <c r="E13" s="293"/>
      <c r="F13" s="294"/>
      <c r="G13" s="294"/>
      <c r="H13" s="294"/>
      <c r="I13" s="20"/>
      <c r="J13" s="20"/>
    </row>
    <row r="14" spans="1:10" ht="64.5" thickBot="1">
      <c r="A14" s="2" t="s">
        <v>6</v>
      </c>
      <c r="B14" s="144" t="s">
        <v>202</v>
      </c>
      <c r="C14" s="17" t="s">
        <v>195</v>
      </c>
      <c r="D14" s="17" t="s">
        <v>335</v>
      </c>
      <c r="E14" s="3" t="s">
        <v>336</v>
      </c>
      <c r="F14" s="264" t="s">
        <v>251</v>
      </c>
      <c r="G14" s="294"/>
      <c r="H14" s="20"/>
      <c r="I14" s="20"/>
      <c r="J14" s="20"/>
    </row>
    <row r="15" spans="1:10" ht="13.5" thickTop="1">
      <c r="A15" s="145" t="s">
        <v>322</v>
      </c>
      <c r="B15" s="142">
        <v>1.5</v>
      </c>
      <c r="C15" s="143">
        <v>24</v>
      </c>
      <c r="D15" s="284">
        <f>(D4*B15*12)/(F4*C15)</f>
        <v>0.26025</v>
      </c>
      <c r="E15" s="285">
        <v>0.3</v>
      </c>
      <c r="F15" s="263" t="str">
        <f>IF(E15&lt;D15,"CHECK DESIGN","Good")</f>
        <v>Good</v>
      </c>
      <c r="G15" s="294"/>
      <c r="H15" s="20"/>
      <c r="I15" s="20"/>
      <c r="J15" s="20"/>
    </row>
    <row r="16" spans="1:10" ht="12.75">
      <c r="A16" s="18" t="s">
        <v>323</v>
      </c>
      <c r="B16" s="140">
        <v>1.5</v>
      </c>
      <c r="C16" s="141">
        <v>24</v>
      </c>
      <c r="D16" s="149">
        <f>IF(E5=0,0,E5/(B16*F5/12*C16))</f>
        <v>0</v>
      </c>
      <c r="E16" s="286">
        <v>0</v>
      </c>
      <c r="F16" s="193" t="str">
        <f>IF(E16&lt;D16,"CHECK DESIGN","Good")</f>
        <v>Good</v>
      </c>
      <c r="G16" s="294"/>
      <c r="H16" s="20"/>
      <c r="I16" s="20"/>
      <c r="J16" s="20"/>
    </row>
    <row r="17" spans="1:10" ht="12.75">
      <c r="A17" s="18" t="s">
        <v>324</v>
      </c>
      <c r="B17" s="140">
        <v>1.5</v>
      </c>
      <c r="C17" s="141">
        <v>24</v>
      </c>
      <c r="D17" s="149">
        <f>IF(E6=0,0,E6/(B17*F6/12*C17))</f>
        <v>0</v>
      </c>
      <c r="E17" s="286">
        <v>0</v>
      </c>
      <c r="F17" s="193" t="str">
        <f>IF(E17&lt;D17,"CHECK DESIGN","Good")</f>
        <v>Good</v>
      </c>
      <c r="G17" s="294"/>
      <c r="H17" s="20"/>
      <c r="I17" s="20"/>
      <c r="J17" s="20"/>
    </row>
    <row r="18" spans="1:10" ht="12.75">
      <c r="A18" s="18" t="s">
        <v>325</v>
      </c>
      <c r="B18" s="140">
        <v>1.5</v>
      </c>
      <c r="C18" s="141">
        <v>24</v>
      </c>
      <c r="D18" s="149">
        <f>IF(E7=0,0,E7/(B18*F7/12*C18))</f>
        <v>0</v>
      </c>
      <c r="E18" s="286">
        <v>0</v>
      </c>
      <c r="F18" s="193" t="str">
        <f>IF(E18&lt;D18,"CHECK DESIGN","Good")</f>
        <v>Good</v>
      </c>
      <c r="G18" s="294"/>
      <c r="H18" s="20"/>
      <c r="I18" s="20"/>
      <c r="J18" s="20"/>
    </row>
    <row r="19" spans="1:10" ht="13.5" thickBot="1">
      <c r="A19" s="19" t="s">
        <v>326</v>
      </c>
      <c r="B19" s="146">
        <v>1.5</v>
      </c>
      <c r="C19" s="147">
        <v>24</v>
      </c>
      <c r="D19" s="262">
        <f>IF(E8=0,0,E8/(B19*F8/12*C19))</f>
        <v>0</v>
      </c>
      <c r="E19" s="287">
        <v>0</v>
      </c>
      <c r="F19" s="194" t="str">
        <f>IF(E19&lt;D19,"CHECK DESIGN","Good")</f>
        <v>Good</v>
      </c>
      <c r="G19" s="294"/>
      <c r="H19" s="20"/>
      <c r="I19" s="20"/>
      <c r="J19" s="20"/>
    </row>
    <row r="20" spans="1:10" ht="12.75">
      <c r="A20" s="293"/>
      <c r="B20" s="293"/>
      <c r="C20" s="293"/>
      <c r="D20" s="293"/>
      <c r="E20" s="293"/>
      <c r="F20" s="294"/>
      <c r="G20" s="294"/>
      <c r="H20" s="294"/>
      <c r="I20" s="294"/>
      <c r="J20" s="294"/>
    </row>
    <row r="21" spans="1:10" ht="12.75">
      <c r="A21" s="369" t="s">
        <v>22</v>
      </c>
      <c r="B21" s="369"/>
      <c r="C21" s="369"/>
      <c r="D21" s="369"/>
      <c r="E21" s="293"/>
      <c r="F21" s="294"/>
      <c r="G21" s="294"/>
      <c r="H21" s="294"/>
      <c r="I21" s="294"/>
      <c r="J21" s="294"/>
    </row>
    <row r="22" spans="1:10" ht="12.75">
      <c r="A22" s="293"/>
      <c r="B22" s="293"/>
      <c r="C22" s="293"/>
      <c r="D22" s="293"/>
      <c r="E22" s="293"/>
      <c r="F22" s="294"/>
      <c r="G22" s="294"/>
      <c r="H22" s="294"/>
      <c r="I22" s="294"/>
      <c r="J22" s="294"/>
    </row>
    <row r="23" spans="1:10" ht="12.75">
      <c r="A23" s="71" t="s">
        <v>75</v>
      </c>
      <c r="B23" s="72"/>
      <c r="E23" s="295" t="s">
        <v>166</v>
      </c>
      <c r="F23" s="296" t="s">
        <v>167</v>
      </c>
      <c r="G23" s="294"/>
      <c r="H23" s="294"/>
      <c r="I23" s="294"/>
      <c r="J23" s="294"/>
    </row>
    <row r="24" spans="1:10" ht="25.5" customHeight="1">
      <c r="A24" s="395" t="s">
        <v>338</v>
      </c>
      <c r="B24" s="395"/>
      <c r="C24" s="395"/>
      <c r="D24" s="395"/>
      <c r="E24" s="178" t="s">
        <v>8</v>
      </c>
      <c r="F24" s="185" t="str">
        <f aca="true" t="shared" si="0" ref="F24:F30">IF(E24="Yes","Good","CHECK DESIGN")</f>
        <v>Good</v>
      </c>
      <c r="G24" s="294"/>
      <c r="H24" s="294"/>
      <c r="I24" s="294"/>
      <c r="J24" s="294"/>
    </row>
    <row r="25" spans="1:10" ht="12.75">
      <c r="A25" s="395" t="s">
        <v>333</v>
      </c>
      <c r="B25" s="395"/>
      <c r="C25" s="395"/>
      <c r="D25" s="395"/>
      <c r="E25" s="178" t="s">
        <v>8</v>
      </c>
      <c r="F25" s="185" t="str">
        <f t="shared" si="0"/>
        <v>Good</v>
      </c>
      <c r="G25" s="294"/>
      <c r="H25" s="294"/>
      <c r="I25" s="294"/>
      <c r="J25" s="294"/>
    </row>
    <row r="26" spans="1:10" ht="14.25">
      <c r="A26" s="395" t="s">
        <v>419</v>
      </c>
      <c r="B26" s="395"/>
      <c r="C26" s="395"/>
      <c r="D26" s="395"/>
      <c r="E26" s="178" t="s">
        <v>8</v>
      </c>
      <c r="F26" s="185" t="str">
        <f t="shared" si="0"/>
        <v>Good</v>
      </c>
      <c r="G26" s="294"/>
      <c r="H26" s="294"/>
      <c r="I26" s="294"/>
      <c r="J26" s="294"/>
    </row>
    <row r="27" spans="1:10" ht="12.75">
      <c r="A27" s="395" t="s">
        <v>339</v>
      </c>
      <c r="B27" s="395"/>
      <c r="C27" s="395"/>
      <c r="D27" s="395"/>
      <c r="E27" s="178" t="s">
        <v>8</v>
      </c>
      <c r="F27" s="185" t="str">
        <f t="shared" si="0"/>
        <v>Good</v>
      </c>
      <c r="G27" s="294"/>
      <c r="H27" s="294"/>
      <c r="I27" s="294"/>
      <c r="J27" s="294"/>
    </row>
    <row r="28" spans="1:10" ht="12.75">
      <c r="A28" s="395" t="s">
        <v>340</v>
      </c>
      <c r="B28" s="395"/>
      <c r="C28" s="395"/>
      <c r="D28" s="395"/>
      <c r="E28" s="178" t="s">
        <v>8</v>
      </c>
      <c r="F28" s="185" t="str">
        <f t="shared" si="0"/>
        <v>Good</v>
      </c>
      <c r="G28" s="294"/>
      <c r="H28" s="294"/>
      <c r="I28" s="294"/>
      <c r="J28" s="294"/>
    </row>
    <row r="29" spans="1:10" ht="39.75" customHeight="1">
      <c r="A29" s="395" t="s">
        <v>341</v>
      </c>
      <c r="B29" s="395"/>
      <c r="C29" s="395"/>
      <c r="D29" s="395"/>
      <c r="E29" s="178" t="s">
        <v>8</v>
      </c>
      <c r="F29" s="185" t="str">
        <f t="shared" si="0"/>
        <v>Good</v>
      </c>
      <c r="G29" s="294"/>
      <c r="H29" s="294"/>
      <c r="I29" s="294"/>
      <c r="J29" s="294"/>
    </row>
    <row r="30" spans="1:10" ht="12.75">
      <c r="A30" s="395" t="s">
        <v>342</v>
      </c>
      <c r="B30" s="395"/>
      <c r="C30" s="395"/>
      <c r="D30" s="395"/>
      <c r="E30" s="178" t="s">
        <v>8</v>
      </c>
      <c r="F30" s="185" t="str">
        <f t="shared" si="0"/>
        <v>Good</v>
      </c>
      <c r="G30" s="294"/>
      <c r="H30" s="294"/>
      <c r="I30" s="294"/>
      <c r="J30" s="294"/>
    </row>
    <row r="31" spans="1:10" ht="12.75">
      <c r="A31" s="293"/>
      <c r="B31" s="293"/>
      <c r="C31" s="293"/>
      <c r="D31" s="293"/>
      <c r="E31" s="293"/>
      <c r="F31" s="294"/>
      <c r="G31" s="294"/>
      <c r="H31" s="294"/>
      <c r="I31" s="294"/>
      <c r="J31" s="294"/>
    </row>
    <row r="32" spans="1:10" ht="12.75">
      <c r="A32" s="293"/>
      <c r="B32" s="293"/>
      <c r="C32" s="293"/>
      <c r="D32" s="293"/>
      <c r="E32" s="293"/>
      <c r="F32" s="294"/>
      <c r="G32" s="294"/>
      <c r="H32" s="294"/>
      <c r="I32" s="294"/>
      <c r="J32" s="294"/>
    </row>
    <row r="33" spans="1:10" ht="12.75">
      <c r="A33" s="148" t="s">
        <v>204</v>
      </c>
      <c r="B33" s="293"/>
      <c r="C33" s="293"/>
      <c r="D33" s="293"/>
      <c r="E33" s="293"/>
      <c r="F33" s="294"/>
      <c r="G33" s="294"/>
      <c r="H33" s="294"/>
      <c r="I33" s="294"/>
      <c r="J33" s="294"/>
    </row>
    <row r="34" spans="1:10" ht="15.75">
      <c r="A34" s="96">
        <v>1</v>
      </c>
      <c r="B34" s="148" t="s">
        <v>203</v>
      </c>
      <c r="C34" s="293"/>
      <c r="D34" s="293"/>
      <c r="E34" s="293"/>
      <c r="F34" s="294"/>
      <c r="G34" s="294"/>
      <c r="H34" s="294"/>
      <c r="I34" s="294"/>
      <c r="J34" s="294"/>
    </row>
    <row r="35" spans="1:10" ht="12.75">
      <c r="A35" s="96">
        <v>2</v>
      </c>
      <c r="B35" s="148" t="s">
        <v>205</v>
      </c>
      <c r="C35" s="293"/>
      <c r="D35" s="293"/>
      <c r="E35" s="293"/>
      <c r="F35" s="294"/>
      <c r="G35" s="294"/>
      <c r="H35" s="294"/>
      <c r="I35" s="294"/>
      <c r="J35" s="294"/>
    </row>
    <row r="36" spans="1:10" ht="12.75">
      <c r="A36" s="96">
        <v>3</v>
      </c>
      <c r="B36" s="148" t="s">
        <v>201</v>
      </c>
      <c r="C36" s="293"/>
      <c r="D36" s="293"/>
      <c r="E36" s="293"/>
      <c r="F36" s="294"/>
      <c r="G36" s="294"/>
      <c r="H36" s="294"/>
      <c r="I36" s="294"/>
      <c r="J36" s="294"/>
    </row>
    <row r="37" spans="1:10" ht="12.75">
      <c r="A37" s="96">
        <v>4</v>
      </c>
      <c r="B37" s="148" t="s">
        <v>21</v>
      </c>
      <c r="C37" s="293"/>
      <c r="D37" s="293"/>
      <c r="E37" s="293"/>
      <c r="F37" s="294"/>
      <c r="G37" s="294"/>
      <c r="H37" s="294"/>
      <c r="I37" s="294"/>
      <c r="J37" s="294"/>
    </row>
    <row r="38" spans="1:10" ht="12.75">
      <c r="A38" s="96"/>
      <c r="B38" s="148"/>
      <c r="C38" s="293"/>
      <c r="D38" s="293"/>
      <c r="E38" s="293"/>
      <c r="F38" s="294"/>
      <c r="G38" s="294"/>
      <c r="H38" s="294"/>
      <c r="I38" s="294"/>
      <c r="J38" s="294"/>
    </row>
    <row r="39" spans="1:10" ht="12.75">
      <c r="A39" s="96"/>
      <c r="B39" s="148"/>
      <c r="C39" s="293"/>
      <c r="D39" s="293"/>
      <c r="E39" s="293"/>
      <c r="F39" s="294"/>
      <c r="G39" s="294"/>
      <c r="H39" s="294"/>
      <c r="I39" s="294"/>
      <c r="J39" s="294"/>
    </row>
    <row r="40" spans="1:10" ht="12.75">
      <c r="A40" s="96"/>
      <c r="B40" s="148"/>
      <c r="C40" s="293"/>
      <c r="D40" s="293"/>
      <c r="E40" s="293"/>
      <c r="F40" s="294"/>
      <c r="G40" s="294"/>
      <c r="H40" s="294"/>
      <c r="I40" s="294"/>
      <c r="J40" s="294"/>
    </row>
    <row r="41" spans="1:10" ht="12.75">
      <c r="A41" s="96"/>
      <c r="B41" s="148"/>
      <c r="C41" s="293"/>
      <c r="D41" s="293"/>
      <c r="E41" s="293"/>
      <c r="F41" s="294"/>
      <c r="G41" s="294"/>
      <c r="H41" s="294"/>
      <c r="I41" s="294"/>
      <c r="J41" s="294"/>
    </row>
    <row r="42" spans="1:10" ht="12.75">
      <c r="A42" s="96"/>
      <c r="B42" s="293"/>
      <c r="C42" s="293"/>
      <c r="D42" s="293"/>
      <c r="E42" s="293"/>
      <c r="F42" s="294"/>
      <c r="G42" s="294"/>
      <c r="H42" s="294"/>
      <c r="I42" s="294"/>
      <c r="J42" s="294"/>
    </row>
    <row r="43" spans="1:10" ht="12.75">
      <c r="A43" s="293"/>
      <c r="B43" s="293"/>
      <c r="C43" s="293"/>
      <c r="D43" s="293"/>
      <c r="E43" s="293"/>
      <c r="F43" s="294"/>
      <c r="G43" s="294"/>
      <c r="H43" s="294"/>
      <c r="I43" s="294"/>
      <c r="J43" s="294"/>
    </row>
  </sheetData>
  <sheetProtection/>
  <mergeCells count="9">
    <mergeCell ref="A30:D30"/>
    <mergeCell ref="A29:D29"/>
    <mergeCell ref="A28:D28"/>
    <mergeCell ref="A27:D27"/>
    <mergeCell ref="A1:F1"/>
    <mergeCell ref="A21:D21"/>
    <mergeCell ref="A24:D24"/>
    <mergeCell ref="A25:D25"/>
    <mergeCell ref="A26:D26"/>
  </mergeCells>
  <dataValidations count="1">
    <dataValidation type="list" allowBlank="1" showInputMessage="1" showErrorMessage="1" sqref="E24:E30">
      <formula1>YesNo</formula1>
    </dataValidation>
  </dataValidations>
  <printOptions/>
  <pageMargins left="0.7" right="0.7" top="0.75" bottom="0.75" header="0.3" footer="0.3"/>
  <pageSetup horizontalDpi="600" verticalDpi="600" orientation="portrait" r:id="rId2"/>
  <headerFooter>
    <oddHeader>&amp;L&amp;G&amp;C&amp;"Garamond,Bold"&amp;14&amp;K009969Ohio Department of Transportation - Office of Hydraulic Engineering
&amp;"Arial,Bold"&amp;11&amp;K000000Post-Construction BMP Calculation Spreadsheet</oddHeader>
    <oddFooter>&amp;RSpreadsheet Template
Updated January 2019</oddFooter>
  </headerFooter>
  <legacyDrawingHF r:id="rId1"/>
</worksheet>
</file>

<file path=xl/worksheets/sheet12.xml><?xml version="1.0" encoding="utf-8"?>
<worksheet xmlns="http://schemas.openxmlformats.org/spreadsheetml/2006/main" xmlns:r="http://schemas.openxmlformats.org/officeDocument/2006/relationships">
  <dimension ref="A2:D65"/>
  <sheetViews>
    <sheetView zoomScalePageLayoutView="0" workbookViewId="0" topLeftCell="A1">
      <selection activeCell="A1" sqref="A1"/>
    </sheetView>
  </sheetViews>
  <sheetFormatPr defaultColWidth="9.140625" defaultRowHeight="12.75"/>
  <cols>
    <col min="2" max="3" width="17.57421875" style="0" customWidth="1"/>
    <col min="4" max="4" width="14.00390625" style="0" customWidth="1"/>
  </cols>
  <sheetData>
    <row r="2" ht="18">
      <c r="B2" s="345" t="s">
        <v>377</v>
      </c>
    </row>
    <row r="4" ht="14.25">
      <c r="B4" s="12" t="s">
        <v>378</v>
      </c>
    </row>
    <row r="6" spans="2:4" ht="13.5">
      <c r="B6" s="343" t="s">
        <v>373</v>
      </c>
      <c r="C6" s="343" t="s">
        <v>375</v>
      </c>
      <c r="D6" s="396"/>
    </row>
    <row r="7" spans="2:4" ht="12.75">
      <c r="B7" s="344" t="s">
        <v>374</v>
      </c>
      <c r="C7" s="344" t="s">
        <v>376</v>
      </c>
      <c r="D7" s="396"/>
    </row>
    <row r="8" spans="2:4" ht="12.75">
      <c r="B8" s="340">
        <v>10</v>
      </c>
      <c r="C8" s="341">
        <v>1.85</v>
      </c>
      <c r="D8" s="339"/>
    </row>
    <row r="9" spans="2:4" ht="12.75">
      <c r="B9" s="340">
        <v>11</v>
      </c>
      <c r="C9" s="341">
        <v>1.76</v>
      </c>
      <c r="D9" s="339"/>
    </row>
    <row r="10" spans="2:4" ht="12.75">
      <c r="B10" s="340">
        <v>12</v>
      </c>
      <c r="C10" s="341">
        <v>1.68</v>
      </c>
      <c r="D10" s="339"/>
    </row>
    <row r="11" spans="2:4" ht="12.75">
      <c r="B11" s="340">
        <v>13</v>
      </c>
      <c r="C11" s="341">
        <v>1.62</v>
      </c>
      <c r="D11" s="339"/>
    </row>
    <row r="12" spans="2:4" ht="12.75">
      <c r="B12" s="340">
        <v>14</v>
      </c>
      <c r="C12" s="341">
        <v>1.56</v>
      </c>
      <c r="D12" s="339"/>
    </row>
    <row r="13" spans="2:4" ht="12.75">
      <c r="B13" s="340">
        <v>15</v>
      </c>
      <c r="C13" s="341">
        <v>1.51</v>
      </c>
      <c r="D13" s="339"/>
    </row>
    <row r="14" spans="2:4" ht="12.75">
      <c r="B14" s="340">
        <v>16</v>
      </c>
      <c r="C14" s="341">
        <v>1.46</v>
      </c>
      <c r="D14" s="339"/>
    </row>
    <row r="15" spans="2:4" ht="12.75">
      <c r="B15" s="340">
        <v>17</v>
      </c>
      <c r="C15" s="341">
        <v>1.41</v>
      </c>
      <c r="D15" s="339"/>
    </row>
    <row r="16" spans="2:4" ht="12.75">
      <c r="B16" s="340">
        <v>18</v>
      </c>
      <c r="C16" s="341">
        <v>1.37</v>
      </c>
      <c r="D16" s="339"/>
    </row>
    <row r="17" spans="2:4" ht="12.75">
      <c r="B17" s="340">
        <v>19</v>
      </c>
      <c r="C17" s="341">
        <v>1.33</v>
      </c>
      <c r="D17" s="339"/>
    </row>
    <row r="18" spans="2:4" ht="12.75">
      <c r="B18" s="340">
        <v>20</v>
      </c>
      <c r="C18" s="341">
        <v>1.29</v>
      </c>
      <c r="D18" s="339"/>
    </row>
    <row r="19" spans="2:4" ht="12.75">
      <c r="B19" s="340">
        <v>21</v>
      </c>
      <c r="C19" s="341">
        <v>1.26</v>
      </c>
      <c r="D19" s="339"/>
    </row>
    <row r="20" spans="2:4" ht="12.75">
      <c r="B20" s="340">
        <v>22</v>
      </c>
      <c r="C20" s="341">
        <v>1.22</v>
      </c>
      <c r="D20" s="339"/>
    </row>
    <row r="21" spans="2:4" ht="12.75">
      <c r="B21" s="340">
        <v>23</v>
      </c>
      <c r="C21" s="341">
        <v>1.19</v>
      </c>
      <c r="D21" s="339"/>
    </row>
    <row r="22" spans="2:4" ht="12.75">
      <c r="B22" s="340">
        <v>24</v>
      </c>
      <c r="C22" s="341">
        <v>1.16</v>
      </c>
      <c r="D22" s="339"/>
    </row>
    <row r="23" spans="2:4" ht="12.75">
      <c r="B23" s="340">
        <v>25</v>
      </c>
      <c r="C23" s="341">
        <v>1.13</v>
      </c>
      <c r="D23" s="339"/>
    </row>
    <row r="24" spans="2:4" ht="12.75">
      <c r="B24" s="340">
        <v>26</v>
      </c>
      <c r="C24" s="341">
        <v>1.1</v>
      </c>
      <c r="D24" s="339"/>
    </row>
    <row r="25" spans="2:4" ht="12.75">
      <c r="B25" s="340">
        <v>27</v>
      </c>
      <c r="C25" s="341">
        <v>1.07</v>
      </c>
      <c r="D25" s="339"/>
    </row>
    <row r="26" spans="2:4" ht="12.75">
      <c r="B26" s="340">
        <v>28</v>
      </c>
      <c r="C26" s="341">
        <v>1.05</v>
      </c>
      <c r="D26" s="339"/>
    </row>
    <row r="27" spans="2:4" ht="12.75">
      <c r="B27" s="340">
        <v>29</v>
      </c>
      <c r="C27" s="341">
        <v>1.03</v>
      </c>
      <c r="D27" s="339"/>
    </row>
    <row r="28" spans="2:4" ht="12.75">
      <c r="B28" s="340">
        <v>30</v>
      </c>
      <c r="C28" s="341">
        <v>1.01</v>
      </c>
      <c r="D28" s="339"/>
    </row>
    <row r="29" spans="2:4" ht="12.75">
      <c r="B29" s="340">
        <v>31</v>
      </c>
      <c r="C29" s="341">
        <v>0.99</v>
      </c>
      <c r="D29" s="339"/>
    </row>
    <row r="30" spans="2:4" ht="12.75">
      <c r="B30" s="340">
        <v>32</v>
      </c>
      <c r="C30" s="341">
        <v>0.97</v>
      </c>
      <c r="D30" s="339"/>
    </row>
    <row r="31" spans="2:4" ht="12.75">
      <c r="B31" s="340">
        <v>33</v>
      </c>
      <c r="C31" s="341">
        <v>0.95</v>
      </c>
      <c r="D31" s="339"/>
    </row>
    <row r="32" spans="2:4" ht="12.75">
      <c r="B32" s="340">
        <v>34</v>
      </c>
      <c r="C32" s="341">
        <v>0.93</v>
      </c>
      <c r="D32" s="339"/>
    </row>
    <row r="33" spans="2:4" ht="12.75">
      <c r="B33" s="340">
        <v>35</v>
      </c>
      <c r="C33" s="341">
        <v>0.92</v>
      </c>
      <c r="D33" s="339"/>
    </row>
    <row r="34" spans="2:3" ht="12.75">
      <c r="B34" s="342">
        <v>36</v>
      </c>
      <c r="C34" s="342">
        <v>0.9</v>
      </c>
    </row>
    <row r="35" spans="2:3" ht="12.75">
      <c r="B35" s="342">
        <v>37</v>
      </c>
      <c r="C35" s="342">
        <v>0.88</v>
      </c>
    </row>
    <row r="36" spans="2:3" ht="12.75">
      <c r="B36" s="342">
        <v>38</v>
      </c>
      <c r="C36" s="342">
        <v>0.86</v>
      </c>
    </row>
    <row r="37" spans="2:3" ht="12.75">
      <c r="B37" s="342">
        <v>39</v>
      </c>
      <c r="C37" s="342">
        <v>0.85</v>
      </c>
    </row>
    <row r="38" spans="2:3" ht="12.75">
      <c r="B38" s="342">
        <v>40</v>
      </c>
      <c r="C38" s="342">
        <v>0.83</v>
      </c>
    </row>
    <row r="39" spans="2:3" ht="12.75">
      <c r="B39" s="342">
        <v>41</v>
      </c>
      <c r="C39" s="342">
        <v>0.82</v>
      </c>
    </row>
    <row r="40" spans="2:3" ht="12.75">
      <c r="B40" s="342">
        <v>42</v>
      </c>
      <c r="C40" s="342">
        <v>0.8</v>
      </c>
    </row>
    <row r="41" spans="2:3" ht="12.75">
      <c r="B41" s="342">
        <v>43</v>
      </c>
      <c r="C41" s="342">
        <v>0.78</v>
      </c>
    </row>
    <row r="42" spans="2:3" ht="12.75">
      <c r="B42" s="342">
        <v>44</v>
      </c>
      <c r="C42" s="342">
        <v>0.77</v>
      </c>
    </row>
    <row r="43" spans="2:3" ht="12.75">
      <c r="B43" s="342">
        <v>45</v>
      </c>
      <c r="C43" s="342">
        <v>0.76</v>
      </c>
    </row>
    <row r="44" spans="2:3" ht="12.75">
      <c r="B44" s="342">
        <v>46</v>
      </c>
      <c r="C44" s="342">
        <v>0.75</v>
      </c>
    </row>
    <row r="45" spans="2:3" ht="12.75">
      <c r="B45" s="342">
        <v>47</v>
      </c>
      <c r="C45" s="342">
        <v>0.74</v>
      </c>
    </row>
    <row r="46" spans="2:3" ht="12.75">
      <c r="B46" s="342">
        <v>48</v>
      </c>
      <c r="C46" s="342">
        <v>0.73</v>
      </c>
    </row>
    <row r="47" spans="2:3" ht="12.75">
      <c r="B47" s="342">
        <v>49</v>
      </c>
      <c r="C47" s="342">
        <v>0.72</v>
      </c>
    </row>
    <row r="48" spans="2:3" ht="12.75">
      <c r="B48" s="342">
        <v>50</v>
      </c>
      <c r="C48" s="342">
        <v>0.71</v>
      </c>
    </row>
    <row r="49" spans="2:3" ht="12.75">
      <c r="B49" s="342">
        <v>51</v>
      </c>
      <c r="C49" s="342">
        <v>0.69</v>
      </c>
    </row>
    <row r="50" spans="2:3" ht="12.75">
      <c r="B50" s="342">
        <v>52</v>
      </c>
      <c r="C50" s="342">
        <v>0.68</v>
      </c>
    </row>
    <row r="51" spans="2:3" ht="12.75">
      <c r="B51" s="342">
        <v>53</v>
      </c>
      <c r="C51" s="342">
        <v>0.67</v>
      </c>
    </row>
    <row r="52" spans="2:3" ht="12.75">
      <c r="B52" s="342">
        <v>54</v>
      </c>
      <c r="C52" s="342">
        <v>0.66</v>
      </c>
    </row>
    <row r="53" spans="2:3" ht="12.75">
      <c r="B53" s="342">
        <v>55</v>
      </c>
      <c r="C53" s="342">
        <v>0.66</v>
      </c>
    </row>
    <row r="54" spans="2:3" ht="12.75">
      <c r="B54" s="342">
        <v>56</v>
      </c>
      <c r="C54" s="342">
        <v>0.65</v>
      </c>
    </row>
    <row r="55" spans="2:3" ht="12.75">
      <c r="B55" s="342">
        <v>57</v>
      </c>
      <c r="C55" s="342">
        <v>0.64</v>
      </c>
    </row>
    <row r="56" spans="2:3" ht="12.75">
      <c r="B56" s="342">
        <v>58</v>
      </c>
      <c r="C56" s="342">
        <v>0.64</v>
      </c>
    </row>
    <row r="57" spans="2:3" ht="12.75">
      <c r="B57" s="342">
        <v>59</v>
      </c>
      <c r="C57" s="342">
        <v>0.63</v>
      </c>
    </row>
    <row r="58" spans="2:3" ht="12.75">
      <c r="B58" s="342">
        <v>60</v>
      </c>
      <c r="C58" s="342">
        <v>0.62</v>
      </c>
    </row>
    <row r="59" spans="2:3" ht="12.75">
      <c r="B59" s="103" t="s">
        <v>382</v>
      </c>
      <c r="C59" s="342">
        <v>0.62</v>
      </c>
    </row>
    <row r="60" spans="2:3" ht="12.75">
      <c r="B60" s="298" t="s">
        <v>104</v>
      </c>
      <c r="C60" s="298" t="s">
        <v>381</v>
      </c>
    </row>
    <row r="62" ht="12.75">
      <c r="A62" s="20" t="s">
        <v>130</v>
      </c>
    </row>
    <row r="63" spans="1:2" ht="12.75">
      <c r="A63">
        <v>1</v>
      </c>
      <c r="B63" s="20" t="s">
        <v>379</v>
      </c>
    </row>
    <row r="64" spans="1:2" ht="15.75">
      <c r="A64">
        <v>2</v>
      </c>
      <c r="B64" s="20" t="s">
        <v>420</v>
      </c>
    </row>
    <row r="65" spans="1:2" ht="15.75">
      <c r="A65">
        <v>3</v>
      </c>
      <c r="B65" s="20" t="s">
        <v>380</v>
      </c>
    </row>
  </sheetData>
  <sheetProtection/>
  <mergeCells count="1">
    <mergeCell ref="D6:D7"/>
  </mergeCells>
  <printOptions/>
  <pageMargins left="0.7" right="0.7" top="0.75" bottom="0.75" header="0.3" footer="0.3"/>
  <pageSetup horizontalDpi="300" verticalDpi="300" orientation="portrait" r:id="rId1"/>
</worksheet>
</file>

<file path=xl/worksheets/sheet13.xml><?xml version="1.0" encoding="utf-8"?>
<worksheet xmlns="http://schemas.openxmlformats.org/spreadsheetml/2006/main" xmlns:r="http://schemas.openxmlformats.org/officeDocument/2006/relationships">
  <dimension ref="B2:J55"/>
  <sheetViews>
    <sheetView zoomScalePageLayoutView="0" workbookViewId="0" topLeftCell="A1">
      <selection activeCell="A1" sqref="A1"/>
    </sheetView>
  </sheetViews>
  <sheetFormatPr defaultColWidth="9.140625" defaultRowHeight="12.75"/>
  <cols>
    <col min="1" max="2" width="9.140625" style="20" customWidth="1"/>
    <col min="3" max="3" width="11.140625" style="20" bestFit="1" customWidth="1"/>
    <col min="4" max="4" width="19.421875" style="20" bestFit="1" customWidth="1"/>
    <col min="5" max="5" width="11.8515625" style="20" bestFit="1" customWidth="1"/>
    <col min="6" max="6" width="24.421875" style="20" bestFit="1" customWidth="1"/>
    <col min="7" max="7" width="17.421875" style="20" bestFit="1" customWidth="1"/>
    <col min="8" max="8" width="24.28125" style="20" bestFit="1" customWidth="1"/>
    <col min="9" max="16384" width="9.140625" style="20" customWidth="1"/>
  </cols>
  <sheetData>
    <row r="2" spans="2:9" ht="12.75">
      <c r="B2" s="299" t="s">
        <v>123</v>
      </c>
      <c r="C2" s="299" t="s">
        <v>189</v>
      </c>
      <c r="D2" s="299" t="s">
        <v>368</v>
      </c>
      <c r="E2" s="299" t="s">
        <v>372</v>
      </c>
      <c r="F2" s="299" t="s">
        <v>112</v>
      </c>
      <c r="G2" s="299" t="s">
        <v>329</v>
      </c>
      <c r="H2" s="12" t="s">
        <v>155</v>
      </c>
      <c r="I2" s="299" t="s">
        <v>7</v>
      </c>
    </row>
    <row r="3" spans="2:10" ht="12.75">
      <c r="B3" s="331" t="s">
        <v>8</v>
      </c>
      <c r="C3" s="331" t="s">
        <v>8</v>
      </c>
      <c r="D3" s="103" t="s">
        <v>124</v>
      </c>
      <c r="E3" s="103">
        <v>10</v>
      </c>
      <c r="F3" s="103" t="s">
        <v>124</v>
      </c>
      <c r="G3" s="298">
        <v>1</v>
      </c>
      <c r="H3" s="273" t="s">
        <v>154</v>
      </c>
      <c r="I3" s="176" t="s">
        <v>222</v>
      </c>
      <c r="J3" s="175" t="s">
        <v>224</v>
      </c>
    </row>
    <row r="4" spans="2:10" ht="12.75">
      <c r="B4" s="331" t="s">
        <v>9</v>
      </c>
      <c r="C4" s="331" t="s">
        <v>9</v>
      </c>
      <c r="D4" s="103" t="s">
        <v>10</v>
      </c>
      <c r="E4" s="103">
        <v>11</v>
      </c>
      <c r="F4" s="103" t="s">
        <v>125</v>
      </c>
      <c r="G4" s="298">
        <v>2</v>
      </c>
      <c r="H4" s="273" t="s">
        <v>156</v>
      </c>
      <c r="I4" s="176" t="s">
        <v>289</v>
      </c>
      <c r="J4" s="175" t="s">
        <v>225</v>
      </c>
    </row>
    <row r="5" spans="3:10" ht="12.75">
      <c r="C5" s="331" t="s">
        <v>104</v>
      </c>
      <c r="D5" s="103" t="s">
        <v>11</v>
      </c>
      <c r="E5" s="103">
        <v>12</v>
      </c>
      <c r="F5" s="103" t="s">
        <v>10</v>
      </c>
      <c r="G5" s="298">
        <v>3</v>
      </c>
      <c r="I5" s="176" t="s">
        <v>223</v>
      </c>
      <c r="J5" s="175" t="s">
        <v>226</v>
      </c>
    </row>
    <row r="6" spans="5:7" ht="12.75">
      <c r="E6" s="103">
        <v>13</v>
      </c>
      <c r="F6" s="103" t="s">
        <v>126</v>
      </c>
      <c r="G6" s="332">
        <v>4</v>
      </c>
    </row>
    <row r="7" spans="5:7" ht="12.75">
      <c r="E7" s="103">
        <v>14</v>
      </c>
      <c r="F7" s="103" t="s">
        <v>127</v>
      </c>
      <c r="G7" s="174"/>
    </row>
    <row r="8" spans="5:7" ht="12.75">
      <c r="E8" s="103">
        <v>15</v>
      </c>
      <c r="F8" s="103" t="s">
        <v>128</v>
      </c>
      <c r="G8" s="174"/>
    </row>
    <row r="9" spans="5:7" ht="12.75">
      <c r="E9" s="103">
        <v>16</v>
      </c>
      <c r="F9" s="103" t="s">
        <v>11</v>
      </c>
      <c r="G9" s="174"/>
    </row>
    <row r="10" spans="5:7" ht="12.75">
      <c r="E10" s="103">
        <v>17</v>
      </c>
      <c r="F10" s="103" t="s">
        <v>12</v>
      </c>
      <c r="G10" s="174"/>
    </row>
    <row r="11" spans="5:7" ht="12.75">
      <c r="E11" s="103">
        <v>18</v>
      </c>
      <c r="F11" s="103" t="s">
        <v>20</v>
      </c>
      <c r="G11" s="174"/>
    </row>
    <row r="12" spans="5:7" ht="12.75">
      <c r="E12" s="103">
        <v>19</v>
      </c>
      <c r="F12" s="103" t="s">
        <v>209</v>
      </c>
      <c r="G12" s="174"/>
    </row>
    <row r="13" spans="5:7" ht="12.75">
      <c r="E13" s="103">
        <v>20</v>
      </c>
      <c r="F13" s="103" t="s">
        <v>221</v>
      </c>
      <c r="G13" s="174"/>
    </row>
    <row r="14" spans="5:7" ht="12.75">
      <c r="E14" s="103">
        <v>21</v>
      </c>
      <c r="F14" s="103" t="s">
        <v>129</v>
      </c>
      <c r="G14" s="174"/>
    </row>
    <row r="15" ht="12.75">
      <c r="E15" s="103">
        <v>22</v>
      </c>
    </row>
    <row r="16" ht="12.75">
      <c r="E16" s="103">
        <v>23</v>
      </c>
    </row>
    <row r="17" ht="12.75">
      <c r="E17" s="103">
        <v>24</v>
      </c>
    </row>
    <row r="18" ht="12.75">
      <c r="E18" s="103">
        <v>25</v>
      </c>
    </row>
    <row r="19" ht="12.75">
      <c r="E19" s="103">
        <v>26</v>
      </c>
    </row>
    <row r="20" ht="12.75">
      <c r="E20" s="103">
        <v>27</v>
      </c>
    </row>
    <row r="21" ht="12.75">
      <c r="E21" s="103">
        <v>28</v>
      </c>
    </row>
    <row r="22" ht="12.75">
      <c r="E22" s="103">
        <v>29</v>
      </c>
    </row>
    <row r="23" ht="12.75">
      <c r="E23" s="103">
        <v>30</v>
      </c>
    </row>
    <row r="24" ht="12.75">
      <c r="E24" s="103">
        <v>31</v>
      </c>
    </row>
    <row r="25" ht="12.75">
      <c r="E25" s="103">
        <v>32</v>
      </c>
    </row>
    <row r="26" ht="12.75">
      <c r="E26" s="103">
        <v>33</v>
      </c>
    </row>
    <row r="27" ht="12.75">
      <c r="E27" s="103">
        <v>34</v>
      </c>
    </row>
    <row r="28" ht="12.75">
      <c r="E28" s="103">
        <v>35</v>
      </c>
    </row>
    <row r="29" ht="12.75">
      <c r="E29" s="103">
        <v>36</v>
      </c>
    </row>
    <row r="30" ht="12.75">
      <c r="E30" s="103">
        <v>37</v>
      </c>
    </row>
    <row r="31" ht="12.75">
      <c r="E31" s="103">
        <v>38</v>
      </c>
    </row>
    <row r="32" ht="12.75">
      <c r="E32" s="103">
        <v>39</v>
      </c>
    </row>
    <row r="33" ht="12.75">
      <c r="E33" s="103">
        <v>40</v>
      </c>
    </row>
    <row r="34" ht="12.75">
      <c r="E34" s="103">
        <v>41</v>
      </c>
    </row>
    <row r="35" ht="12.75">
      <c r="E35" s="103">
        <v>42</v>
      </c>
    </row>
    <row r="36" ht="12.75">
      <c r="E36" s="103">
        <v>43</v>
      </c>
    </row>
    <row r="37" ht="12.75">
      <c r="E37" s="103">
        <v>44</v>
      </c>
    </row>
    <row r="38" ht="12.75">
      <c r="E38" s="103">
        <v>45</v>
      </c>
    </row>
    <row r="39" ht="12.75">
      <c r="E39" s="103">
        <v>46</v>
      </c>
    </row>
    <row r="40" ht="12.75">
      <c r="E40" s="103">
        <v>47</v>
      </c>
    </row>
    <row r="41" ht="12.75">
      <c r="E41" s="103">
        <v>48</v>
      </c>
    </row>
    <row r="42" ht="12.75">
      <c r="E42" s="103">
        <v>49</v>
      </c>
    </row>
    <row r="43" ht="12.75">
      <c r="E43" s="103">
        <v>50</v>
      </c>
    </row>
    <row r="44" ht="12.75">
      <c r="E44" s="103">
        <v>51</v>
      </c>
    </row>
    <row r="45" ht="12.75">
      <c r="E45" s="103">
        <v>52</v>
      </c>
    </row>
    <row r="46" ht="12.75">
      <c r="E46" s="103">
        <v>53</v>
      </c>
    </row>
    <row r="47" ht="12.75">
      <c r="E47" s="103">
        <v>54</v>
      </c>
    </row>
    <row r="48" ht="12.75">
      <c r="E48" s="103">
        <v>55</v>
      </c>
    </row>
    <row r="49" ht="12.75">
      <c r="E49" s="103">
        <v>56</v>
      </c>
    </row>
    <row r="50" ht="12.75">
      <c r="E50" s="103">
        <v>57</v>
      </c>
    </row>
    <row r="51" ht="12.75">
      <c r="E51" s="103">
        <v>58</v>
      </c>
    </row>
    <row r="52" ht="12.75">
      <c r="E52" s="103">
        <v>59</v>
      </c>
    </row>
    <row r="53" ht="12.75">
      <c r="E53" s="103">
        <v>60</v>
      </c>
    </row>
    <row r="54" ht="12.75">
      <c r="E54" s="103" t="s">
        <v>382</v>
      </c>
    </row>
    <row r="55" ht="12.75">
      <c r="E55" s="103" t="s">
        <v>104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43"/>
  <sheetViews>
    <sheetView workbookViewId="0" topLeftCell="A1">
      <selection activeCell="A1" sqref="A1:D1"/>
    </sheetView>
  </sheetViews>
  <sheetFormatPr defaultColWidth="9.140625" defaultRowHeight="12.75"/>
  <cols>
    <col min="1" max="1" width="8.8515625" style="20" customWidth="1"/>
    <col min="2" max="2" width="46.57421875" style="20" customWidth="1"/>
    <col min="3" max="3" width="15.7109375" style="20" customWidth="1"/>
    <col min="4" max="4" width="15.140625" style="20" customWidth="1"/>
    <col min="5" max="16384" width="9.140625" style="20" customWidth="1"/>
  </cols>
  <sheetData>
    <row r="1" spans="1:4" ht="24" customHeight="1">
      <c r="A1" s="362" t="s">
        <v>363</v>
      </c>
      <c r="B1" s="362"/>
      <c r="C1" s="362"/>
      <c r="D1" s="362"/>
    </row>
    <row r="3" spans="1:6" ht="12.75">
      <c r="A3" s="299" t="s">
        <v>348</v>
      </c>
      <c r="C3" s="24"/>
      <c r="D3" s="20" t="s">
        <v>102</v>
      </c>
      <c r="F3" s="20" t="s">
        <v>130</v>
      </c>
    </row>
    <row r="4" spans="2:4" ht="12.75">
      <c r="B4" s="103" t="s">
        <v>101</v>
      </c>
      <c r="C4" s="105">
        <v>20</v>
      </c>
      <c r="D4" s="103" t="s">
        <v>99</v>
      </c>
    </row>
    <row r="5" spans="2:4" ht="25.5">
      <c r="B5" s="104" t="s">
        <v>122</v>
      </c>
      <c r="C5" s="105" t="s">
        <v>9</v>
      </c>
      <c r="D5" s="103"/>
    </row>
    <row r="6" spans="2:4" ht="30" customHeight="1">
      <c r="B6" s="297" t="s">
        <v>103</v>
      </c>
      <c r="C6" s="300" t="str">
        <f>IF(C5="YES","BMPs and NOI not required",IF(C4&lt;1,"BMPs and NOI not required","BMPs Required"))</f>
        <v>BMPs Required</v>
      </c>
      <c r="D6" s="297" t="s">
        <v>104</v>
      </c>
    </row>
    <row r="7" spans="2:6" ht="12.75">
      <c r="B7" s="103" t="s">
        <v>331</v>
      </c>
      <c r="C7" s="105">
        <v>2</v>
      </c>
      <c r="D7" s="103" t="s">
        <v>99</v>
      </c>
      <c r="F7" s="20" t="s">
        <v>364</v>
      </c>
    </row>
    <row r="8" spans="2:6" ht="12.75">
      <c r="B8" s="103" t="s">
        <v>105</v>
      </c>
      <c r="C8" s="105" t="s">
        <v>9</v>
      </c>
      <c r="D8" s="103"/>
      <c r="F8" s="20" t="s">
        <v>131</v>
      </c>
    </row>
    <row r="9" spans="2:4" ht="12.75">
      <c r="B9" s="297" t="s">
        <v>106</v>
      </c>
      <c r="C9" s="177" t="str">
        <f>IF(C5="Yes","No",IF(C4&lt;1,"No","Yes"))</f>
        <v>Yes</v>
      </c>
      <c r="D9" s="297"/>
    </row>
    <row r="10" spans="2:4" ht="12.75">
      <c r="B10" s="297" t="s">
        <v>107</v>
      </c>
      <c r="C10" s="177" t="str">
        <f>IF(C5="Yes","No",IF(C7&lt;=1,"No",IF(C8="No","Yes","No")))</f>
        <v>Yes</v>
      </c>
      <c r="D10" s="297"/>
    </row>
    <row r="11" spans="1:4" ht="12.75">
      <c r="A11" s="299" t="s">
        <v>136</v>
      </c>
      <c r="B11" s="103"/>
      <c r="C11" s="298"/>
      <c r="D11" s="103"/>
    </row>
    <row r="12" spans="2:6" ht="25.5">
      <c r="B12" s="104" t="s">
        <v>330</v>
      </c>
      <c r="C12" s="105">
        <v>16</v>
      </c>
      <c r="D12" s="103" t="s">
        <v>99</v>
      </c>
      <c r="F12" s="20" t="s">
        <v>365</v>
      </c>
    </row>
    <row r="13" spans="2:6" ht="12.75">
      <c r="B13" s="297" t="s">
        <v>108</v>
      </c>
      <c r="C13" s="154">
        <f>C7</f>
        <v>2</v>
      </c>
      <c r="D13" s="297" t="s">
        <v>99</v>
      </c>
      <c r="F13" s="20" t="s">
        <v>133</v>
      </c>
    </row>
    <row r="14" spans="2:6" ht="12.75">
      <c r="B14" s="106" t="s">
        <v>109</v>
      </c>
      <c r="C14" s="153">
        <f>((C12*20)+(C13*100))/(C13+C12)</f>
        <v>28.88888888888889</v>
      </c>
      <c r="D14" s="106" t="s">
        <v>110</v>
      </c>
      <c r="F14" s="20" t="s">
        <v>132</v>
      </c>
    </row>
    <row r="15" spans="2:6" ht="12.75">
      <c r="B15" s="106" t="s">
        <v>135</v>
      </c>
      <c r="C15" s="153">
        <f>IF(C5="Yes",0,C14/100*C4)</f>
        <v>5.777777777777779</v>
      </c>
      <c r="D15" s="106" t="s">
        <v>99</v>
      </c>
      <c r="F15" s="20" t="s">
        <v>134</v>
      </c>
    </row>
    <row r="16" ht="12.75">
      <c r="C16" s="24"/>
    </row>
    <row r="17" spans="1:3" ht="12.75">
      <c r="A17" s="299" t="s">
        <v>111</v>
      </c>
      <c r="C17" s="24"/>
    </row>
    <row r="18" spans="1:18" ht="51">
      <c r="A18" s="283" t="s">
        <v>334</v>
      </c>
      <c r="B18" s="281" t="s">
        <v>112</v>
      </c>
      <c r="C18" s="282" t="s">
        <v>113</v>
      </c>
      <c r="D18" s="282" t="s">
        <v>114</v>
      </c>
      <c r="F18" s="361" t="s">
        <v>366</v>
      </c>
      <c r="G18" s="361"/>
      <c r="H18" s="361"/>
      <c r="I18" s="361"/>
      <c r="J18" s="361"/>
      <c r="K18" s="361"/>
      <c r="L18" s="361"/>
      <c r="M18" s="361"/>
      <c r="N18" s="361"/>
      <c r="O18" s="361"/>
      <c r="P18" s="361"/>
      <c r="Q18" s="361"/>
      <c r="R18" s="361"/>
    </row>
    <row r="19" spans="1:4" ht="12.75">
      <c r="A19" s="280" t="s">
        <v>358</v>
      </c>
      <c r="B19" s="105" t="s">
        <v>125</v>
      </c>
      <c r="C19" s="105">
        <v>0.6</v>
      </c>
      <c r="D19" s="105">
        <v>0.6</v>
      </c>
    </row>
    <row r="20" spans="1:4" ht="12.75">
      <c r="A20" s="280" t="s">
        <v>359</v>
      </c>
      <c r="B20" s="105" t="s">
        <v>125</v>
      </c>
      <c r="C20" s="105">
        <v>1.1</v>
      </c>
      <c r="D20" s="105">
        <v>1.1</v>
      </c>
    </row>
    <row r="21" spans="1:4" ht="12.75">
      <c r="A21" s="280" t="s">
        <v>360</v>
      </c>
      <c r="B21" s="105" t="s">
        <v>125</v>
      </c>
      <c r="C21" s="105">
        <v>0.8</v>
      </c>
      <c r="D21" s="105">
        <v>0.8</v>
      </c>
    </row>
    <row r="22" spans="1:4" ht="12.75">
      <c r="A22" s="280" t="s">
        <v>361</v>
      </c>
      <c r="B22" s="105" t="s">
        <v>10</v>
      </c>
      <c r="C22" s="105">
        <v>2</v>
      </c>
      <c r="D22" s="105">
        <v>1.5</v>
      </c>
    </row>
    <row r="23" spans="1:4" ht="12.75">
      <c r="A23" s="280" t="s">
        <v>362</v>
      </c>
      <c r="B23" s="105" t="s">
        <v>10</v>
      </c>
      <c r="C23" s="105">
        <v>2.5</v>
      </c>
      <c r="D23" s="105">
        <v>2</v>
      </c>
    </row>
    <row r="24" spans="1:4" ht="12.75">
      <c r="A24" s="280" t="s">
        <v>115</v>
      </c>
      <c r="B24" s="105"/>
      <c r="C24" s="105"/>
      <c r="D24" s="105"/>
    </row>
    <row r="25" spans="1:4" ht="12.75">
      <c r="A25" s="280" t="s">
        <v>116</v>
      </c>
      <c r="B25" s="105"/>
      <c r="C25" s="105"/>
      <c r="D25" s="105"/>
    </row>
    <row r="26" spans="1:4" ht="12.75">
      <c r="A26" s="280" t="s">
        <v>117</v>
      </c>
      <c r="B26" s="105"/>
      <c r="C26" s="105"/>
      <c r="D26" s="105"/>
    </row>
    <row r="27" spans="1:4" ht="12.75">
      <c r="A27" s="280" t="s">
        <v>118</v>
      </c>
      <c r="B27" s="105"/>
      <c r="C27" s="105"/>
      <c r="D27" s="105"/>
    </row>
    <row r="28" spans="1:4" ht="12.75">
      <c r="A28" s="280" t="s">
        <v>119</v>
      </c>
      <c r="B28" s="105"/>
      <c r="C28" s="105"/>
      <c r="D28" s="105"/>
    </row>
    <row r="30" ht="12.75">
      <c r="A30" s="299" t="s">
        <v>120</v>
      </c>
    </row>
    <row r="31" spans="2:4" ht="12.75">
      <c r="B31" s="363" t="s">
        <v>356</v>
      </c>
      <c r="C31" s="363"/>
      <c r="D31" s="336">
        <f>SUM(D19:D28)</f>
        <v>6</v>
      </c>
    </row>
    <row r="32" spans="2:4" ht="12.75">
      <c r="B32" s="365" t="s">
        <v>357</v>
      </c>
      <c r="C32" s="366"/>
      <c r="D32" s="153">
        <f>C15</f>
        <v>5.777777777777779</v>
      </c>
    </row>
    <row r="33" spans="2:4" ht="12.75">
      <c r="B33" s="364" t="s">
        <v>121</v>
      </c>
      <c r="C33" s="364"/>
      <c r="D33" s="335" t="str">
        <f>IF(D31&gt;=D32,"Good","Check Design")</f>
        <v>Good</v>
      </c>
    </row>
    <row r="36" ht="12.75">
      <c r="B36" s="12" t="s">
        <v>147</v>
      </c>
    </row>
    <row r="37" spans="1:4" ht="12.75">
      <c r="A37" s="360" t="s">
        <v>349</v>
      </c>
      <c r="B37" s="360"/>
      <c r="C37" s="333" t="s">
        <v>8</v>
      </c>
      <c r="D37" s="185" t="str">
        <f>IF(C37="Yes","Good","CHECK SUBMITTAL")</f>
        <v>Good</v>
      </c>
    </row>
    <row r="38" spans="1:4" ht="12.75">
      <c r="A38" s="360" t="s">
        <v>350</v>
      </c>
      <c r="B38" s="360"/>
      <c r="C38" s="333" t="s">
        <v>8</v>
      </c>
      <c r="D38" s="185" t="str">
        <f aca="true" t="shared" si="0" ref="D38:D43">IF(C38="Yes","Good","CHECK SUBMITTAL")</f>
        <v>Good</v>
      </c>
    </row>
    <row r="39" spans="1:4" ht="12.75">
      <c r="A39" s="360" t="s">
        <v>351</v>
      </c>
      <c r="B39" s="360"/>
      <c r="C39" s="333" t="s">
        <v>8</v>
      </c>
      <c r="D39" s="185" t="str">
        <f t="shared" si="0"/>
        <v>Good</v>
      </c>
    </row>
    <row r="40" spans="1:4" ht="39" customHeight="1">
      <c r="A40" s="367" t="s">
        <v>352</v>
      </c>
      <c r="B40" s="367"/>
      <c r="C40" s="333" t="s">
        <v>8</v>
      </c>
      <c r="D40" s="185" t="str">
        <f t="shared" si="0"/>
        <v>Good</v>
      </c>
    </row>
    <row r="41" spans="1:4" ht="12.75">
      <c r="A41" s="360" t="s">
        <v>353</v>
      </c>
      <c r="B41" s="360"/>
      <c r="C41" s="333" t="s">
        <v>8</v>
      </c>
      <c r="D41" s="185" t="str">
        <f t="shared" si="0"/>
        <v>Good</v>
      </c>
    </row>
    <row r="42" spans="1:4" ht="12.75">
      <c r="A42" s="360" t="s">
        <v>354</v>
      </c>
      <c r="B42" s="360"/>
      <c r="C42" s="333" t="s">
        <v>8</v>
      </c>
      <c r="D42" s="185" t="str">
        <f t="shared" si="0"/>
        <v>Good</v>
      </c>
    </row>
    <row r="43" spans="1:4" ht="12.75">
      <c r="A43" s="360" t="s">
        <v>355</v>
      </c>
      <c r="B43" s="360"/>
      <c r="C43" s="333" t="s">
        <v>8</v>
      </c>
      <c r="D43" s="185" t="str">
        <f t="shared" si="0"/>
        <v>Good</v>
      </c>
    </row>
  </sheetData>
  <sheetProtection/>
  <mergeCells count="12">
    <mergeCell ref="A43:B43"/>
    <mergeCell ref="A42:B42"/>
    <mergeCell ref="A41:B41"/>
    <mergeCell ref="A40:B40"/>
    <mergeCell ref="A39:B39"/>
    <mergeCell ref="A38:B38"/>
    <mergeCell ref="A37:B37"/>
    <mergeCell ref="F18:R18"/>
    <mergeCell ref="A1:D1"/>
    <mergeCell ref="B31:C31"/>
    <mergeCell ref="B33:C33"/>
    <mergeCell ref="B32:C32"/>
  </mergeCells>
  <dataValidations count="2">
    <dataValidation type="list" allowBlank="1" showInputMessage="1" showErrorMessage="1" sqref="B19:B28">
      <formula1>BMPs</formula1>
    </dataValidation>
    <dataValidation type="list" allowBlank="1" showInputMessage="1" showErrorMessage="1" sqref="C37:C43 C5 C8">
      <formula1>YesNo</formula1>
    </dataValidation>
  </dataValidations>
  <printOptions/>
  <pageMargins left="0.7" right="0.7" top="0.75" bottom="0.75" header="0.3" footer="0.3"/>
  <pageSetup horizontalDpi="600" verticalDpi="600" orientation="portrait" r:id="rId2"/>
  <headerFooter>
    <oddHeader>&amp;L&amp;G&amp;C&amp;"Garamond,Bold"&amp;14&amp;K009969Ohio Department of Transportation - Office of Hydraulic Engineering&amp;"Arial,Regular"&amp;10&amp;K000000
&amp;"Arial,Bold"&amp;11Post-Construction BMP Calculation Spreadsheet</oddHeader>
    <oddFooter>&amp;RSpreadsheet Template
Updated January 2019</oddFooter>
  </headerFooter>
  <legacyDrawingHF r:id="rId1"/>
</worksheet>
</file>

<file path=xl/worksheets/sheet3.xml><?xml version="1.0" encoding="utf-8"?>
<worksheet xmlns="http://schemas.openxmlformats.org/spreadsheetml/2006/main" xmlns:r="http://schemas.openxmlformats.org/officeDocument/2006/relationships">
  <dimension ref="A1:H75"/>
  <sheetViews>
    <sheetView workbookViewId="0" topLeftCell="A1">
      <selection activeCell="A1" sqref="A1:C1"/>
    </sheetView>
  </sheetViews>
  <sheetFormatPr defaultColWidth="9.140625" defaultRowHeight="12.75"/>
  <cols>
    <col min="1" max="1" width="43.00390625" style="20" customWidth="1"/>
    <col min="2" max="2" width="21.00390625" style="20" customWidth="1"/>
    <col min="3" max="3" width="24.00390625" style="301" customWidth="1"/>
    <col min="4" max="4" width="22.140625" style="20" customWidth="1"/>
    <col min="5" max="5" width="13.140625" style="301" bestFit="1" customWidth="1"/>
    <col min="6" max="6" width="22.140625" style="20" customWidth="1"/>
    <col min="7" max="7" width="13.140625" style="301" bestFit="1" customWidth="1"/>
    <col min="8" max="8" width="9.140625" style="292" customWidth="1"/>
    <col min="9" max="16384" width="9.140625" style="20" customWidth="1"/>
  </cols>
  <sheetData>
    <row r="1" spans="1:8" ht="24" customHeight="1">
      <c r="A1" s="368" t="s">
        <v>369</v>
      </c>
      <c r="B1" s="368"/>
      <c r="C1" s="368"/>
      <c r="D1" s="183"/>
      <c r="E1" s="183"/>
      <c r="F1" s="183"/>
      <c r="G1" s="183"/>
      <c r="H1" s="183"/>
    </row>
    <row r="2" spans="1:8" ht="13.5" thickBot="1">
      <c r="A2" s="13"/>
      <c r="B2" s="13"/>
      <c r="C2" s="89"/>
      <c r="D2" s="13"/>
      <c r="E2" s="89"/>
      <c r="F2" s="13"/>
      <c r="G2" s="89"/>
      <c r="H2" s="13"/>
    </row>
    <row r="3" spans="1:3" ht="15" customHeight="1" thickBot="1">
      <c r="A3" s="334" t="s">
        <v>274</v>
      </c>
      <c r="B3" s="217" t="s">
        <v>278</v>
      </c>
      <c r="C3" s="92" t="s">
        <v>267</v>
      </c>
    </row>
    <row r="4" spans="1:8" ht="13.5" thickTop="1">
      <c r="A4" s="215" t="s">
        <v>269</v>
      </c>
      <c r="B4" s="222">
        <v>2</v>
      </c>
      <c r="C4" s="216">
        <v>0.9</v>
      </c>
      <c r="D4" s="24"/>
      <c r="E4" s="346" t="s">
        <v>384</v>
      </c>
      <c r="F4" s="24"/>
      <c r="G4" s="90"/>
      <c r="H4" s="24"/>
    </row>
    <row r="5" spans="1:8" ht="12.75">
      <c r="A5" s="213" t="s">
        <v>270</v>
      </c>
      <c r="B5" s="223">
        <v>0.5</v>
      </c>
      <c r="C5" s="121">
        <v>0.9</v>
      </c>
      <c r="D5" s="24"/>
      <c r="E5" s="90"/>
      <c r="F5" s="24"/>
      <c r="G5" s="90"/>
      <c r="H5" s="24"/>
    </row>
    <row r="6" spans="1:8" ht="12.75">
      <c r="A6" s="213" t="s">
        <v>271</v>
      </c>
      <c r="B6" s="223">
        <v>1</v>
      </c>
      <c r="C6" s="200">
        <v>0.5</v>
      </c>
      <c r="D6" s="13"/>
      <c r="E6" s="89"/>
      <c r="F6" s="13"/>
      <c r="G6" s="89"/>
      <c r="H6" s="13"/>
    </row>
    <row r="7" spans="1:8" ht="12.75">
      <c r="A7" s="213" t="s">
        <v>272</v>
      </c>
      <c r="B7" s="223">
        <v>0.5</v>
      </c>
      <c r="C7" s="200">
        <v>0.3</v>
      </c>
      <c r="D7" s="13"/>
      <c r="E7" s="89"/>
      <c r="F7" s="13"/>
      <c r="G7" s="89"/>
      <c r="H7" s="13"/>
    </row>
    <row r="8" spans="1:8" ht="12.75">
      <c r="A8" s="214" t="s">
        <v>268</v>
      </c>
      <c r="B8" s="122">
        <f>SUM(B4:B7)</f>
        <v>4</v>
      </c>
      <c r="C8" s="123">
        <f>IF(B8=0,"",(B4*C4+B5*C5+B6*C6+B7*C7)/B8)</f>
        <v>0.725</v>
      </c>
      <c r="D8" s="13"/>
      <c r="E8" s="89"/>
      <c r="F8" s="13"/>
      <c r="G8" s="89"/>
      <c r="H8" s="13"/>
    </row>
    <row r="9" spans="1:3" ht="6" customHeight="1">
      <c r="A9" s="156"/>
      <c r="B9" s="175"/>
      <c r="C9" s="302"/>
    </row>
    <row r="10" spans="1:8" ht="12.75">
      <c r="A10" s="218" t="s">
        <v>112</v>
      </c>
      <c r="B10" s="337" t="s">
        <v>10</v>
      </c>
      <c r="C10" s="302"/>
      <c r="D10" s="292"/>
      <c r="E10" s="292"/>
      <c r="F10" s="292"/>
      <c r="G10" s="20"/>
      <c r="H10" s="20"/>
    </row>
    <row r="11" spans="1:8" ht="12.75">
      <c r="A11" s="218" t="s">
        <v>371</v>
      </c>
      <c r="B11" s="338" t="s">
        <v>104</v>
      </c>
      <c r="C11" s="302"/>
      <c r="D11" s="292"/>
      <c r="E11" s="292" t="s">
        <v>385</v>
      </c>
      <c r="F11" s="292"/>
      <c r="G11" s="20"/>
      <c r="H11" s="20"/>
    </row>
    <row r="12" spans="1:8" ht="13.5" thickBot="1">
      <c r="A12" s="218" t="s">
        <v>285</v>
      </c>
      <c r="B12" s="219">
        <f>IF(B10="","",IF(B10="Manufactured System",VLOOKUP(B11,'Fig. 1115-3 Intensity'!$B$8:$C$60,2,FALSE),0.65))</f>
        <v>0.65</v>
      </c>
      <c r="C12" s="302"/>
      <c r="D12" s="292"/>
      <c r="E12" s="292" t="s">
        <v>412</v>
      </c>
      <c r="F12" s="292"/>
      <c r="G12" s="20"/>
      <c r="H12" s="20"/>
    </row>
    <row r="13" spans="1:8" ht="15" customHeight="1" thickBot="1">
      <c r="A13" s="220" t="s">
        <v>413</v>
      </c>
      <c r="B13" s="229">
        <f>IF(B8=0,"",B8*C8*B12)</f>
        <v>1.885</v>
      </c>
      <c r="C13" s="221" t="s">
        <v>273</v>
      </c>
      <c r="D13" s="292"/>
      <c r="E13" s="292"/>
      <c r="F13" s="292"/>
      <c r="G13" s="20"/>
      <c r="H13" s="20"/>
    </row>
    <row r="14" spans="4:8" ht="13.5" thickBot="1">
      <c r="D14" s="292"/>
      <c r="E14" s="292"/>
      <c r="F14" s="292"/>
      <c r="G14" s="20"/>
      <c r="H14" s="20"/>
    </row>
    <row r="15" spans="1:3" ht="15" customHeight="1" thickBot="1">
      <c r="A15" s="334" t="s">
        <v>275</v>
      </c>
      <c r="B15" s="217" t="s">
        <v>278</v>
      </c>
      <c r="C15" s="92" t="s">
        <v>267</v>
      </c>
    </row>
    <row r="16" spans="1:8" ht="13.5" thickTop="1">
      <c r="A16" s="215" t="s">
        <v>269</v>
      </c>
      <c r="B16" s="222">
        <v>1.3</v>
      </c>
      <c r="C16" s="216">
        <v>0.9</v>
      </c>
      <c r="D16" s="24"/>
      <c r="E16" s="90"/>
      <c r="F16" s="24"/>
      <c r="G16" s="90"/>
      <c r="H16" s="24"/>
    </row>
    <row r="17" spans="1:8" ht="12.75">
      <c r="A17" s="213" t="s">
        <v>270</v>
      </c>
      <c r="B17" s="223"/>
      <c r="C17" s="121">
        <v>0.9</v>
      </c>
      <c r="D17" s="24"/>
      <c r="E17" s="90"/>
      <c r="F17" s="24"/>
      <c r="G17" s="90"/>
      <c r="H17" s="24"/>
    </row>
    <row r="18" spans="1:8" ht="12.75">
      <c r="A18" s="213" t="s">
        <v>271</v>
      </c>
      <c r="B18" s="223"/>
      <c r="C18" s="200"/>
      <c r="D18" s="13"/>
      <c r="E18" s="89"/>
      <c r="F18" s="13"/>
      <c r="G18" s="89"/>
      <c r="H18" s="13"/>
    </row>
    <row r="19" spans="1:8" ht="12.75">
      <c r="A19" s="213" t="s">
        <v>272</v>
      </c>
      <c r="B19" s="223"/>
      <c r="C19" s="200"/>
      <c r="D19" s="13"/>
      <c r="E19" s="89"/>
      <c r="F19" s="13"/>
      <c r="G19" s="89"/>
      <c r="H19" s="13"/>
    </row>
    <row r="20" spans="1:8" ht="12.75">
      <c r="A20" s="214" t="s">
        <v>268</v>
      </c>
      <c r="B20" s="122">
        <f>SUM(B16:B19)</f>
        <v>1.3</v>
      </c>
      <c r="C20" s="123">
        <f>IF(B20=0,"",(B16*C16+B17*C17+B18*C18+B19*C19)/B20)</f>
        <v>0.9000000000000001</v>
      </c>
      <c r="D20" s="13"/>
      <c r="E20" s="89"/>
      <c r="F20" s="13"/>
      <c r="G20" s="89"/>
      <c r="H20" s="13"/>
    </row>
    <row r="21" spans="1:3" ht="6" customHeight="1">
      <c r="A21" s="156"/>
      <c r="B21" s="175"/>
      <c r="C21" s="302"/>
    </row>
    <row r="22" spans="1:8" ht="12.75">
      <c r="A22" s="218" t="s">
        <v>112</v>
      </c>
      <c r="B22" s="337" t="s">
        <v>124</v>
      </c>
      <c r="C22" s="302"/>
      <c r="D22" s="292"/>
      <c r="E22" s="292"/>
      <c r="F22" s="292"/>
      <c r="G22" s="20"/>
      <c r="H22" s="20"/>
    </row>
    <row r="23" spans="1:8" ht="12.75">
      <c r="A23" s="218" t="s">
        <v>371</v>
      </c>
      <c r="B23" s="338">
        <v>19</v>
      </c>
      <c r="C23" s="302"/>
      <c r="D23" s="292"/>
      <c r="E23" s="292"/>
      <c r="F23" s="292"/>
      <c r="G23" s="20"/>
      <c r="H23" s="20"/>
    </row>
    <row r="24" spans="1:8" ht="13.5" thickBot="1">
      <c r="A24" s="218" t="s">
        <v>285</v>
      </c>
      <c r="B24" s="219">
        <f>IF(B22="","",IF(B22="Manufactured System",VLOOKUP(B23,'Fig. 1115-3 Intensity'!$B$8:$C$60,2,FALSE),0.65))</f>
        <v>1.33</v>
      </c>
      <c r="C24" s="302"/>
      <c r="D24" s="292"/>
      <c r="E24" s="292"/>
      <c r="F24" s="292"/>
      <c r="G24" s="20"/>
      <c r="H24" s="20"/>
    </row>
    <row r="25" spans="1:8" ht="15" customHeight="1" thickBot="1">
      <c r="A25" s="220" t="s">
        <v>413</v>
      </c>
      <c r="B25" s="229">
        <f>IF(B20=0,"",B20*C20*B24)</f>
        <v>1.5561000000000003</v>
      </c>
      <c r="C25" s="221" t="s">
        <v>273</v>
      </c>
      <c r="D25" s="292"/>
      <c r="E25" s="292"/>
      <c r="F25" s="292"/>
      <c r="G25" s="20"/>
      <c r="H25" s="20"/>
    </row>
    <row r="26" spans="4:8" ht="13.5" thickBot="1">
      <c r="D26" s="292"/>
      <c r="E26" s="292"/>
      <c r="F26" s="292"/>
      <c r="G26" s="20"/>
      <c r="H26" s="20"/>
    </row>
    <row r="27" spans="1:3" ht="15" customHeight="1" thickBot="1">
      <c r="A27" s="334" t="s">
        <v>276</v>
      </c>
      <c r="B27" s="217" t="s">
        <v>278</v>
      </c>
      <c r="C27" s="92" t="s">
        <v>267</v>
      </c>
    </row>
    <row r="28" spans="1:8" ht="13.5" thickTop="1">
      <c r="A28" s="215" t="s">
        <v>269</v>
      </c>
      <c r="B28" s="222"/>
      <c r="C28" s="216">
        <v>0.9</v>
      </c>
      <c r="D28" s="24"/>
      <c r="E28" s="90"/>
      <c r="F28" s="24"/>
      <c r="G28" s="90"/>
      <c r="H28" s="24"/>
    </row>
    <row r="29" spans="1:8" ht="12.75">
      <c r="A29" s="213" t="s">
        <v>270</v>
      </c>
      <c r="B29" s="223"/>
      <c r="C29" s="121">
        <v>0.9</v>
      </c>
      <c r="D29" s="24"/>
      <c r="E29" s="90"/>
      <c r="F29" s="24"/>
      <c r="G29" s="90"/>
      <c r="H29" s="24"/>
    </row>
    <row r="30" spans="1:8" ht="12.75">
      <c r="A30" s="213" t="s">
        <v>271</v>
      </c>
      <c r="B30" s="223"/>
      <c r="C30" s="200"/>
      <c r="D30" s="13"/>
      <c r="E30" s="89"/>
      <c r="F30" s="13"/>
      <c r="G30" s="89"/>
      <c r="H30" s="13"/>
    </row>
    <row r="31" spans="1:8" ht="12.75">
      <c r="A31" s="213" t="s">
        <v>272</v>
      </c>
      <c r="B31" s="223"/>
      <c r="C31" s="200"/>
      <c r="D31" s="13"/>
      <c r="E31" s="89"/>
      <c r="F31" s="13"/>
      <c r="G31" s="89"/>
      <c r="H31" s="13"/>
    </row>
    <row r="32" spans="1:8" ht="12.75">
      <c r="A32" s="214" t="s">
        <v>268</v>
      </c>
      <c r="B32" s="122">
        <f>SUM(B28:B31)</f>
        <v>0</v>
      </c>
      <c r="C32" s="123">
        <f>IF(B32=0,"",(B28*C28+B29*C29+B30*C30+B31*C31)/B32)</f>
      </c>
      <c r="D32" s="13"/>
      <c r="E32" s="89"/>
      <c r="F32" s="13"/>
      <c r="G32" s="89"/>
      <c r="H32" s="13"/>
    </row>
    <row r="33" spans="1:3" ht="6" customHeight="1">
      <c r="A33" s="156"/>
      <c r="B33" s="175"/>
      <c r="C33" s="302"/>
    </row>
    <row r="34" spans="1:8" ht="12.75">
      <c r="A34" s="218" t="s">
        <v>112</v>
      </c>
      <c r="B34" s="337"/>
      <c r="C34" s="302"/>
      <c r="D34" s="292"/>
      <c r="E34" s="292"/>
      <c r="F34" s="292"/>
      <c r="G34" s="20"/>
      <c r="H34" s="20"/>
    </row>
    <row r="35" spans="1:8" ht="12.75">
      <c r="A35" s="218" t="s">
        <v>371</v>
      </c>
      <c r="B35" s="338"/>
      <c r="C35" s="302"/>
      <c r="D35" s="292"/>
      <c r="E35" s="292"/>
      <c r="F35" s="292"/>
      <c r="G35" s="20"/>
      <c r="H35" s="20"/>
    </row>
    <row r="36" spans="1:8" ht="13.5" thickBot="1">
      <c r="A36" s="218" t="s">
        <v>285</v>
      </c>
      <c r="B36" s="219">
        <f>IF(B34="","",IF(B34="Manufactured System",VLOOKUP(B35,'Fig. 1115-3 Intensity'!$B$8:$C$60,2,FALSE),0.65))</f>
      </c>
      <c r="C36" s="302"/>
      <c r="D36" s="292"/>
      <c r="E36" s="292"/>
      <c r="F36" s="292"/>
      <c r="G36" s="20"/>
      <c r="H36" s="20"/>
    </row>
    <row r="37" spans="1:8" ht="15" customHeight="1" thickBot="1">
      <c r="A37" s="220" t="s">
        <v>413</v>
      </c>
      <c r="B37" s="229">
        <f>IF(B32=0,"",B32*C32*B36)</f>
      </c>
      <c r="C37" s="221" t="s">
        <v>273</v>
      </c>
      <c r="D37" s="292"/>
      <c r="E37" s="292"/>
      <c r="F37" s="292"/>
      <c r="G37" s="20"/>
      <c r="H37" s="20"/>
    </row>
    <row r="38" spans="4:8" ht="13.5" thickBot="1">
      <c r="D38" s="292"/>
      <c r="E38" s="292"/>
      <c r="F38" s="292"/>
      <c r="G38" s="20"/>
      <c r="H38" s="20"/>
    </row>
    <row r="39" spans="1:3" ht="15" customHeight="1" thickBot="1">
      <c r="A39" s="334" t="s">
        <v>277</v>
      </c>
      <c r="B39" s="217" t="s">
        <v>278</v>
      </c>
      <c r="C39" s="92" t="s">
        <v>267</v>
      </c>
    </row>
    <row r="40" spans="1:8" ht="13.5" thickTop="1">
      <c r="A40" s="215" t="s">
        <v>269</v>
      </c>
      <c r="B40" s="222"/>
      <c r="C40" s="216">
        <v>0.9</v>
      </c>
      <c r="D40" s="24"/>
      <c r="E40" s="90"/>
      <c r="F40" s="24"/>
      <c r="G40" s="90"/>
      <c r="H40" s="24"/>
    </row>
    <row r="41" spans="1:8" ht="12.75">
      <c r="A41" s="213" t="s">
        <v>270</v>
      </c>
      <c r="B41" s="223"/>
      <c r="C41" s="121">
        <v>0.9</v>
      </c>
      <c r="D41" s="24"/>
      <c r="E41" s="90"/>
      <c r="F41" s="24"/>
      <c r="G41" s="90"/>
      <c r="H41" s="24"/>
    </row>
    <row r="42" spans="1:8" ht="12.75">
      <c r="A42" s="213" t="s">
        <v>271</v>
      </c>
      <c r="B42" s="223"/>
      <c r="C42" s="200"/>
      <c r="D42" s="13"/>
      <c r="E42" s="89"/>
      <c r="F42" s="13"/>
      <c r="G42" s="89"/>
      <c r="H42" s="13"/>
    </row>
    <row r="43" spans="1:8" ht="12.75">
      <c r="A43" s="213" t="s">
        <v>272</v>
      </c>
      <c r="B43" s="223"/>
      <c r="C43" s="200"/>
      <c r="D43" s="13"/>
      <c r="E43" s="89"/>
      <c r="F43" s="13"/>
      <c r="G43" s="89"/>
      <c r="H43" s="13"/>
    </row>
    <row r="44" spans="1:8" ht="12.75">
      <c r="A44" s="214" t="s">
        <v>268</v>
      </c>
      <c r="B44" s="122">
        <f>SUM(B40:B43)</f>
        <v>0</v>
      </c>
      <c r="C44" s="123">
        <f>IF(B44=0,"",(B40*C40+B41*C41+B42*C42+B43*C43)/B44)</f>
      </c>
      <c r="D44" s="13"/>
      <c r="E44" s="89"/>
      <c r="F44" s="13"/>
      <c r="G44" s="89"/>
      <c r="H44" s="13"/>
    </row>
    <row r="45" spans="1:3" ht="6" customHeight="1">
      <c r="A45" s="156"/>
      <c r="B45" s="175"/>
      <c r="C45" s="302"/>
    </row>
    <row r="46" spans="1:8" ht="12.75">
      <c r="A46" s="218" t="s">
        <v>112</v>
      </c>
      <c r="B46" s="337"/>
      <c r="C46" s="302"/>
      <c r="D46" s="292"/>
      <c r="E46" s="292"/>
      <c r="F46" s="292"/>
      <c r="G46" s="20"/>
      <c r="H46" s="20"/>
    </row>
    <row r="47" spans="1:8" ht="12.75">
      <c r="A47" s="218" t="s">
        <v>371</v>
      </c>
      <c r="B47" s="338"/>
      <c r="C47" s="302"/>
      <c r="D47" s="292"/>
      <c r="E47" s="292"/>
      <c r="F47" s="292"/>
      <c r="G47" s="20"/>
      <c r="H47" s="20"/>
    </row>
    <row r="48" spans="1:8" ht="13.5" thickBot="1">
      <c r="A48" s="218" t="s">
        <v>285</v>
      </c>
      <c r="B48" s="219">
        <f>IF(B46="","",IF(B46="Manufactured System",VLOOKUP(B47,'Fig. 1115-3 Intensity'!$B$8:$C$60,2,FALSE),0.65))</f>
      </c>
      <c r="C48" s="302"/>
      <c r="D48" s="292"/>
      <c r="E48" s="292"/>
      <c r="F48" s="292"/>
      <c r="G48" s="20"/>
      <c r="H48" s="20"/>
    </row>
    <row r="49" spans="1:8" ht="15" customHeight="1" thickBot="1">
      <c r="A49" s="220" t="s">
        <v>413</v>
      </c>
      <c r="B49" s="229">
        <f>IF(B44=0,"",B44*C44*B48)</f>
      </c>
      <c r="C49" s="221" t="s">
        <v>273</v>
      </c>
      <c r="D49" s="292"/>
      <c r="E49" s="292"/>
      <c r="F49" s="292"/>
      <c r="G49" s="20"/>
      <c r="H49" s="20"/>
    </row>
    <row r="50" spans="4:8" ht="12.75">
      <c r="D50" s="292"/>
      <c r="E50" s="292"/>
      <c r="F50" s="292"/>
      <c r="G50" s="20"/>
      <c r="H50" s="20"/>
    </row>
    <row r="51" spans="4:8" ht="12.75">
      <c r="D51" s="292"/>
      <c r="E51" s="292"/>
      <c r="F51" s="292"/>
      <c r="G51" s="20"/>
      <c r="H51" s="20"/>
    </row>
    <row r="52" spans="4:8" ht="12.75">
      <c r="D52" s="292"/>
      <c r="E52" s="292"/>
      <c r="F52" s="292"/>
      <c r="G52" s="20"/>
      <c r="H52" s="20"/>
    </row>
    <row r="53" spans="4:8" ht="12.75">
      <c r="D53" s="292"/>
      <c r="E53" s="292"/>
      <c r="F53" s="292"/>
      <c r="G53" s="20"/>
      <c r="H53" s="20"/>
    </row>
    <row r="54" spans="1:8" ht="12.75">
      <c r="A54" s="293"/>
      <c r="B54" s="293"/>
      <c r="C54" s="303"/>
      <c r="D54" s="293"/>
      <c r="E54" s="303"/>
      <c r="F54" s="293"/>
      <c r="G54" s="303"/>
      <c r="H54" s="294"/>
    </row>
    <row r="55" spans="1:8" ht="12.75">
      <c r="A55" s="369" t="s">
        <v>22</v>
      </c>
      <c r="B55" s="369"/>
      <c r="C55" s="369"/>
      <c r="D55" s="21"/>
      <c r="E55" s="303"/>
      <c r="F55" s="293"/>
      <c r="G55" s="303"/>
      <c r="H55" s="294"/>
    </row>
    <row r="56" spans="1:8" ht="12.75">
      <c r="A56" s="293"/>
      <c r="B56" s="293"/>
      <c r="C56" s="303"/>
      <c r="D56" s="293"/>
      <c r="E56" s="303"/>
      <c r="F56" s="293"/>
      <c r="G56" s="303"/>
      <c r="H56" s="294"/>
    </row>
    <row r="57" spans="1:8" ht="12.75">
      <c r="A57" s="293"/>
      <c r="B57" s="293"/>
      <c r="C57" s="303"/>
      <c r="D57" s="293"/>
      <c r="E57" s="303"/>
      <c r="F57" s="293"/>
      <c r="G57" s="303"/>
      <c r="H57" s="294"/>
    </row>
    <row r="58" spans="1:8" ht="12.75">
      <c r="A58" s="88" t="s">
        <v>23</v>
      </c>
      <c r="B58" s="293"/>
      <c r="C58" s="303"/>
      <c r="D58" s="293"/>
      <c r="E58" s="303"/>
      <c r="F58" s="293"/>
      <c r="G58" s="303"/>
      <c r="H58" s="294"/>
    </row>
    <row r="59" spans="1:8" ht="15.75">
      <c r="A59" s="88" t="s">
        <v>415</v>
      </c>
      <c r="B59" s="293"/>
      <c r="C59" s="303"/>
      <c r="D59" s="293"/>
      <c r="E59" s="303"/>
      <c r="F59" s="293"/>
      <c r="G59" s="303"/>
      <c r="H59" s="294"/>
    </row>
    <row r="60" spans="1:8" ht="12.75">
      <c r="A60" s="88" t="s">
        <v>96</v>
      </c>
      <c r="B60" s="293"/>
      <c r="C60" s="303"/>
      <c r="D60" s="293"/>
      <c r="E60" s="303"/>
      <c r="F60" s="293"/>
      <c r="G60" s="303"/>
      <c r="H60" s="294"/>
    </row>
    <row r="61" spans="1:8" ht="12.75">
      <c r="A61" s="20" t="s">
        <v>414</v>
      </c>
      <c r="B61" s="293"/>
      <c r="C61" s="303"/>
      <c r="D61" s="293"/>
      <c r="E61" s="303"/>
      <c r="G61" s="303"/>
      <c r="H61" s="294"/>
    </row>
    <row r="62" spans="1:8" ht="12.75">
      <c r="A62" s="20" t="s">
        <v>367</v>
      </c>
      <c r="B62" s="293"/>
      <c r="C62" s="303"/>
      <c r="D62" s="293"/>
      <c r="E62" s="303"/>
      <c r="G62" s="303"/>
      <c r="H62" s="294"/>
    </row>
    <row r="63" spans="1:8" ht="12.75">
      <c r="A63" s="88" t="s">
        <v>90</v>
      </c>
      <c r="B63" s="293"/>
      <c r="C63" s="303"/>
      <c r="D63" s="293"/>
      <c r="E63" s="303"/>
      <c r="G63" s="303"/>
      <c r="H63" s="294"/>
    </row>
    <row r="64" spans="1:8" ht="12.75">
      <c r="A64" s="20" t="s">
        <v>383</v>
      </c>
      <c r="B64" s="293"/>
      <c r="C64" s="303"/>
      <c r="D64" s="293"/>
      <c r="E64" s="303"/>
      <c r="G64" s="303"/>
      <c r="H64" s="294"/>
    </row>
    <row r="65" spans="1:8" ht="12.75">
      <c r="A65" s="293"/>
      <c r="B65" s="293"/>
      <c r="C65" s="303"/>
      <c r="D65" s="293"/>
      <c r="E65" s="303"/>
      <c r="G65" s="303"/>
      <c r="H65" s="294"/>
    </row>
    <row r="66" spans="1:8" ht="12.75">
      <c r="A66" s="293"/>
      <c r="B66" s="293"/>
      <c r="C66" s="303"/>
      <c r="D66" s="293"/>
      <c r="E66" s="303"/>
      <c r="G66" s="303"/>
      <c r="H66" s="294"/>
    </row>
    <row r="67" spans="1:8" ht="12.75">
      <c r="A67" s="293"/>
      <c r="B67" s="293"/>
      <c r="C67" s="303"/>
      <c r="D67" s="293"/>
      <c r="E67" s="303"/>
      <c r="G67" s="303"/>
      <c r="H67" s="294"/>
    </row>
    <row r="68" spans="1:8" ht="12.75">
      <c r="A68" s="293"/>
      <c r="B68" s="293"/>
      <c r="C68" s="303"/>
      <c r="D68" s="293"/>
      <c r="E68" s="303"/>
      <c r="F68" s="293"/>
      <c r="G68" s="303"/>
      <c r="H68" s="294"/>
    </row>
    <row r="69" spans="1:8" ht="12.75">
      <c r="A69" s="293"/>
      <c r="B69" s="293"/>
      <c r="C69" s="303"/>
      <c r="D69" s="293"/>
      <c r="E69" s="303"/>
      <c r="F69" s="293"/>
      <c r="G69" s="303"/>
      <c r="H69" s="294"/>
    </row>
    <row r="70" spans="1:8" ht="12.75">
      <c r="A70" s="293"/>
      <c r="B70" s="293"/>
      <c r="C70" s="303"/>
      <c r="D70" s="293"/>
      <c r="E70" s="303"/>
      <c r="F70" s="293"/>
      <c r="G70" s="303"/>
      <c r="H70" s="294"/>
    </row>
    <row r="71" spans="1:8" ht="12.75">
      <c r="A71" s="293"/>
      <c r="B71" s="293"/>
      <c r="C71" s="303"/>
      <c r="D71" s="293"/>
      <c r="E71" s="303"/>
      <c r="F71" s="293"/>
      <c r="G71" s="303"/>
      <c r="H71" s="294"/>
    </row>
    <row r="72" spans="1:8" ht="12.75">
      <c r="A72" s="293"/>
      <c r="B72" s="293"/>
      <c r="C72" s="303"/>
      <c r="D72" s="293"/>
      <c r="E72" s="303"/>
      <c r="F72" s="293"/>
      <c r="G72" s="303"/>
      <c r="H72" s="294"/>
    </row>
    <row r="73" spans="1:8" ht="12.75">
      <c r="A73" s="293"/>
      <c r="B73" s="293"/>
      <c r="C73" s="303"/>
      <c r="D73" s="293"/>
      <c r="E73" s="303"/>
      <c r="F73" s="293"/>
      <c r="G73" s="303"/>
      <c r="H73" s="294"/>
    </row>
    <row r="74" spans="1:8" ht="12.75">
      <c r="A74" s="293"/>
      <c r="B74" s="293"/>
      <c r="C74" s="303"/>
      <c r="D74" s="293"/>
      <c r="E74" s="303"/>
      <c r="F74" s="293"/>
      <c r="G74" s="303"/>
      <c r="H74" s="294"/>
    </row>
    <row r="75" spans="1:8" ht="12.75">
      <c r="A75" s="293"/>
      <c r="B75" s="293"/>
      <c r="C75" s="303"/>
      <c r="D75" s="293"/>
      <c r="E75" s="303"/>
      <c r="F75" s="293"/>
      <c r="G75" s="303"/>
      <c r="H75" s="294"/>
    </row>
    <row r="76" ht="12.75"/>
    <row r="77" ht="12.75"/>
    <row r="78" ht="12.75"/>
    <row r="79" ht="12.75"/>
    <row r="80" ht="12.75"/>
    <row r="81" ht="12.75"/>
    <row r="82" ht="12.75"/>
    <row r="83" ht="12.75"/>
    <row r="84" ht="12.75"/>
  </sheetData>
  <sheetProtection/>
  <mergeCells count="2">
    <mergeCell ref="A1:C1"/>
    <mergeCell ref="A55:C55"/>
  </mergeCells>
  <dataValidations count="2">
    <dataValidation type="list" allowBlank="1" showInputMessage="1" showErrorMessage="1" sqref="B10 B22 B34 B46">
      <formula1>WQFBMPType</formula1>
    </dataValidation>
    <dataValidation type="list" allowBlank="1" showInputMessage="1" showErrorMessage="1" sqref="B11 B23 B35 B47">
      <formula1>TOC</formula1>
    </dataValidation>
  </dataValidations>
  <printOptions/>
  <pageMargins left="0.7" right="0.7" top="0.75" bottom="0.75" header="0.3" footer="0.3"/>
  <pageSetup horizontalDpi="600" verticalDpi="600" orientation="portrait" r:id="rId3"/>
  <headerFooter>
    <oddHeader>&amp;L&amp;G&amp;C&amp;"Garamond,Bold"&amp;14&amp;K009969Ohio Department of Transportation - Office of Hydraulic Engineering&amp;"Arial,Regular"&amp;10&amp;K000000
&amp;"Arial,Bold"&amp;11Post-Construction BMP Calculation Spreadsheet</oddHeader>
    <oddFooter>&amp;RSpreadsheet Template
Updated January 2019</oddFooter>
  </headerFooter>
  <drawing r:id="rId1"/>
  <legacyDrawingHF r:id="rId2"/>
</worksheet>
</file>

<file path=xl/worksheets/sheet4.xml><?xml version="1.0" encoding="utf-8"?>
<worksheet xmlns="http://schemas.openxmlformats.org/spreadsheetml/2006/main" xmlns:r="http://schemas.openxmlformats.org/officeDocument/2006/relationships">
  <dimension ref="A1:H72"/>
  <sheetViews>
    <sheetView workbookViewId="0" topLeftCell="A1">
      <selection activeCell="A1" sqref="A1:C1"/>
    </sheetView>
  </sheetViews>
  <sheetFormatPr defaultColWidth="9.140625" defaultRowHeight="12.75"/>
  <cols>
    <col min="1" max="1" width="43.28125" style="20" customWidth="1"/>
    <col min="2" max="2" width="13.140625" style="20" customWidth="1"/>
    <col min="3" max="3" width="10.57421875" style="20" customWidth="1"/>
    <col min="4" max="4" width="16.140625" style="292" customWidth="1"/>
    <col min="5" max="5" width="12.421875" style="292" customWidth="1"/>
    <col min="6" max="6" width="11.57421875" style="292" customWidth="1"/>
    <col min="7" max="8" width="9.140625" style="292" customWidth="1"/>
    <col min="9" max="16384" width="9.140625" style="20" customWidth="1"/>
  </cols>
  <sheetData>
    <row r="1" spans="1:8" ht="24" customHeight="1">
      <c r="A1" s="368" t="s">
        <v>370</v>
      </c>
      <c r="B1" s="368"/>
      <c r="C1" s="368"/>
      <c r="D1" s="305"/>
      <c r="E1" s="305"/>
      <c r="F1" s="305"/>
      <c r="G1" s="305"/>
      <c r="H1" s="305"/>
    </row>
    <row r="2" spans="1:8" ht="13.5" thickBot="1">
      <c r="A2" s="13"/>
      <c r="B2" s="13"/>
      <c r="C2" s="13"/>
      <c r="D2" s="13"/>
      <c r="E2" s="13"/>
      <c r="F2" s="13"/>
      <c r="G2" s="13"/>
      <c r="H2" s="13"/>
    </row>
    <row r="3" spans="1:3" ht="14.25" customHeight="1" thickBot="1">
      <c r="A3" s="228" t="s">
        <v>274</v>
      </c>
      <c r="B3" s="217" t="s">
        <v>163</v>
      </c>
      <c r="C3" s="232" t="s">
        <v>102</v>
      </c>
    </row>
    <row r="4" spans="1:8" ht="13.5" thickTop="1">
      <c r="A4" s="215" t="s">
        <v>269</v>
      </c>
      <c r="B4" s="99">
        <v>5.8</v>
      </c>
      <c r="C4" s="231" t="s">
        <v>99</v>
      </c>
      <c r="D4" s="24"/>
      <c r="E4" s="24"/>
      <c r="F4" s="24"/>
      <c r="G4" s="24"/>
      <c r="H4" s="24"/>
    </row>
    <row r="5" spans="1:8" ht="12.75">
      <c r="A5" s="213" t="s">
        <v>270</v>
      </c>
      <c r="B5" s="100">
        <v>0</v>
      </c>
      <c r="C5" s="112" t="s">
        <v>99</v>
      </c>
      <c r="D5" s="13"/>
      <c r="E5" s="13"/>
      <c r="F5" s="13"/>
      <c r="G5" s="13"/>
      <c r="H5" s="13"/>
    </row>
    <row r="6" spans="1:8" ht="12.75">
      <c r="A6" s="213" t="s">
        <v>279</v>
      </c>
      <c r="B6" s="100">
        <v>1.7</v>
      </c>
      <c r="C6" s="112" t="s">
        <v>99</v>
      </c>
      <c r="D6" s="13"/>
      <c r="E6" s="13"/>
      <c r="F6" s="13"/>
      <c r="G6" s="13"/>
      <c r="H6" s="13"/>
    </row>
    <row r="7" spans="1:8" ht="12.75">
      <c r="A7" s="213" t="s">
        <v>268</v>
      </c>
      <c r="B7" s="122">
        <f>SUM(B4:B6)</f>
        <v>7.5</v>
      </c>
      <c r="C7" s="112" t="s">
        <v>99</v>
      </c>
      <c r="D7" s="13"/>
      <c r="E7" s="13"/>
      <c r="F7" s="13"/>
      <c r="G7" s="13"/>
      <c r="H7" s="13"/>
    </row>
    <row r="8" spans="1:8" ht="12.75">
      <c r="A8" s="225" t="s">
        <v>280</v>
      </c>
      <c r="B8" s="122">
        <f>SUM(B4:B5)</f>
        <v>5.8</v>
      </c>
      <c r="C8" s="112" t="s">
        <v>99</v>
      </c>
      <c r="D8" s="13"/>
      <c r="E8" s="13"/>
      <c r="F8" s="13"/>
      <c r="G8" s="13"/>
      <c r="H8" s="13"/>
    </row>
    <row r="9" spans="1:8" ht="6" customHeight="1">
      <c r="A9" s="226"/>
      <c r="B9" s="224"/>
      <c r="C9" s="304"/>
      <c r="D9" s="21"/>
      <c r="E9" s="21"/>
      <c r="F9" s="21"/>
      <c r="G9" s="21"/>
      <c r="H9" s="21"/>
    </row>
    <row r="10" spans="1:8" ht="12.75">
      <c r="A10" s="225" t="s">
        <v>95</v>
      </c>
      <c r="B10" s="122">
        <f>IF(B7=0,"",B8/B7)</f>
        <v>0.7733333333333333</v>
      </c>
      <c r="C10" s="112" t="s">
        <v>281</v>
      </c>
      <c r="D10" s="294"/>
      <c r="E10" s="294"/>
      <c r="F10" s="294"/>
      <c r="G10" s="294"/>
      <c r="H10" s="294"/>
    </row>
    <row r="11" spans="1:8" ht="15.75">
      <c r="A11" s="225" t="s">
        <v>392</v>
      </c>
      <c r="B11" s="122">
        <f>IF(B7=0,0,0.05+0.9*B10)</f>
        <v>0.746</v>
      </c>
      <c r="C11" s="112" t="s">
        <v>104</v>
      </c>
      <c r="D11" s="294"/>
      <c r="E11" s="294"/>
      <c r="F11" s="294"/>
      <c r="G11" s="294"/>
      <c r="H11" s="294"/>
    </row>
    <row r="12" spans="1:8" ht="15" customHeight="1">
      <c r="A12" s="225" t="s">
        <v>284</v>
      </c>
      <c r="B12" s="122">
        <v>0.9</v>
      </c>
      <c r="C12" s="112" t="s">
        <v>74</v>
      </c>
      <c r="D12" s="294"/>
      <c r="E12" s="294"/>
      <c r="F12" s="294"/>
      <c r="G12" s="294"/>
      <c r="H12" s="294"/>
    </row>
    <row r="13" spans="1:8" ht="6" customHeight="1" thickBot="1">
      <c r="A13" s="226"/>
      <c r="B13" s="224"/>
      <c r="C13" s="304"/>
      <c r="D13" s="294"/>
      <c r="E13" s="294"/>
      <c r="F13" s="294"/>
      <c r="G13" s="294"/>
      <c r="H13" s="294"/>
    </row>
    <row r="14" spans="1:8" ht="14.25" customHeight="1" thickBot="1">
      <c r="A14" s="227" t="s">
        <v>283</v>
      </c>
      <c r="B14" s="229">
        <f>B7*B11*B12/12</f>
        <v>0.41962499999999997</v>
      </c>
      <c r="C14" s="230" t="s">
        <v>282</v>
      </c>
      <c r="D14" s="294"/>
      <c r="E14" s="294"/>
      <c r="F14" s="294"/>
      <c r="G14" s="294"/>
      <c r="H14" s="294"/>
    </row>
    <row r="15" spans="4:8" ht="17.25" customHeight="1" thickBot="1">
      <c r="D15" s="294"/>
      <c r="E15" s="294"/>
      <c r="F15" s="294"/>
      <c r="G15" s="294"/>
      <c r="H15" s="294"/>
    </row>
    <row r="16" spans="1:3" ht="14.25" customHeight="1" thickBot="1">
      <c r="A16" s="228" t="s">
        <v>275</v>
      </c>
      <c r="B16" s="217" t="s">
        <v>163</v>
      </c>
      <c r="C16" s="232" t="s">
        <v>102</v>
      </c>
    </row>
    <row r="17" spans="1:8" ht="13.5" thickTop="1">
      <c r="A17" s="215" t="s">
        <v>269</v>
      </c>
      <c r="B17" s="99"/>
      <c r="C17" s="231" t="s">
        <v>99</v>
      </c>
      <c r="D17" s="24"/>
      <c r="E17" s="24"/>
      <c r="F17" s="24"/>
      <c r="G17" s="24"/>
      <c r="H17" s="24"/>
    </row>
    <row r="18" spans="1:8" ht="12.75">
      <c r="A18" s="213" t="s">
        <v>270</v>
      </c>
      <c r="B18" s="100"/>
      <c r="C18" s="112" t="s">
        <v>99</v>
      </c>
      <c r="D18" s="13"/>
      <c r="E18" s="13"/>
      <c r="F18" s="13"/>
      <c r="G18" s="13"/>
      <c r="H18" s="13"/>
    </row>
    <row r="19" spans="1:8" ht="12.75">
      <c r="A19" s="213" t="s">
        <v>279</v>
      </c>
      <c r="B19" s="100"/>
      <c r="C19" s="112" t="s">
        <v>99</v>
      </c>
      <c r="D19" s="13"/>
      <c r="E19" s="13"/>
      <c r="F19" s="13"/>
      <c r="G19" s="13"/>
      <c r="H19" s="13"/>
    </row>
    <row r="20" spans="1:8" ht="12.75">
      <c r="A20" s="213" t="s">
        <v>268</v>
      </c>
      <c r="B20" s="122">
        <f>SUM(B17:B19)</f>
        <v>0</v>
      </c>
      <c r="C20" s="112" t="s">
        <v>99</v>
      </c>
      <c r="D20" s="13"/>
      <c r="E20" s="13"/>
      <c r="F20" s="13"/>
      <c r="G20" s="13"/>
      <c r="H20" s="13"/>
    </row>
    <row r="21" spans="1:8" ht="12.75">
      <c r="A21" s="225" t="s">
        <v>280</v>
      </c>
      <c r="B21" s="122">
        <f>SUM(B17:B18)</f>
        <v>0</v>
      </c>
      <c r="C21" s="112" t="s">
        <v>99</v>
      </c>
      <c r="D21" s="13"/>
      <c r="E21" s="13"/>
      <c r="F21" s="13"/>
      <c r="G21" s="13"/>
      <c r="H21" s="13"/>
    </row>
    <row r="22" spans="1:8" ht="6" customHeight="1">
      <c r="A22" s="226"/>
      <c r="B22" s="224"/>
      <c r="C22" s="304"/>
      <c r="D22" s="21"/>
      <c r="E22" s="21"/>
      <c r="F22" s="21"/>
      <c r="G22" s="21"/>
      <c r="H22" s="21"/>
    </row>
    <row r="23" spans="1:8" ht="12.75">
      <c r="A23" s="225" t="s">
        <v>95</v>
      </c>
      <c r="B23" s="122">
        <f>IF(B20=0,"",B21/B20)</f>
      </c>
      <c r="C23" s="112" t="s">
        <v>281</v>
      </c>
      <c r="D23" s="294"/>
      <c r="E23" s="294"/>
      <c r="F23" s="294"/>
      <c r="G23" s="294"/>
      <c r="H23" s="294"/>
    </row>
    <row r="24" spans="1:8" ht="15.75">
      <c r="A24" s="225" t="s">
        <v>392</v>
      </c>
      <c r="B24" s="122">
        <f>IF(B20=0,0,0.05+0.9*B23)</f>
        <v>0</v>
      </c>
      <c r="C24" s="112" t="s">
        <v>104</v>
      </c>
      <c r="D24" s="294"/>
      <c r="E24" s="294"/>
      <c r="F24" s="294"/>
      <c r="G24" s="294"/>
      <c r="H24" s="294"/>
    </row>
    <row r="25" spans="1:8" ht="15" customHeight="1">
      <c r="A25" s="225" t="s">
        <v>284</v>
      </c>
      <c r="B25" s="122">
        <v>0.9</v>
      </c>
      <c r="C25" s="112" t="s">
        <v>74</v>
      </c>
      <c r="D25" s="294"/>
      <c r="E25" s="294"/>
      <c r="F25" s="294"/>
      <c r="G25" s="294"/>
      <c r="H25" s="294"/>
    </row>
    <row r="26" spans="1:8" ht="6" customHeight="1" thickBot="1">
      <c r="A26" s="226"/>
      <c r="B26" s="224"/>
      <c r="C26" s="304"/>
      <c r="D26" s="294"/>
      <c r="E26" s="294"/>
      <c r="F26" s="294"/>
      <c r="G26" s="294"/>
      <c r="H26" s="294"/>
    </row>
    <row r="27" spans="1:8" ht="14.25" customHeight="1" thickBot="1">
      <c r="A27" s="227" t="s">
        <v>283</v>
      </c>
      <c r="B27" s="229">
        <f>B20*B24*B25/12</f>
        <v>0</v>
      </c>
      <c r="C27" s="230" t="s">
        <v>282</v>
      </c>
      <c r="D27" s="294"/>
      <c r="E27" s="294"/>
      <c r="F27" s="294"/>
      <c r="G27" s="294"/>
      <c r="H27" s="294"/>
    </row>
    <row r="28" spans="4:8" ht="17.25" customHeight="1" thickBot="1">
      <c r="D28" s="294"/>
      <c r="E28" s="294"/>
      <c r="F28" s="294"/>
      <c r="G28" s="294"/>
      <c r="H28" s="294"/>
    </row>
    <row r="29" spans="1:3" ht="14.25" customHeight="1" thickBot="1">
      <c r="A29" s="228" t="s">
        <v>276</v>
      </c>
      <c r="B29" s="217" t="s">
        <v>163</v>
      </c>
      <c r="C29" s="232" t="s">
        <v>102</v>
      </c>
    </row>
    <row r="30" spans="1:8" ht="13.5" thickTop="1">
      <c r="A30" s="215" t="s">
        <v>269</v>
      </c>
      <c r="B30" s="99"/>
      <c r="C30" s="231" t="s">
        <v>99</v>
      </c>
      <c r="D30" s="24"/>
      <c r="E30" s="24"/>
      <c r="F30" s="24"/>
      <c r="G30" s="24"/>
      <c r="H30" s="24"/>
    </row>
    <row r="31" spans="1:8" ht="12.75">
      <c r="A31" s="213" t="s">
        <v>270</v>
      </c>
      <c r="B31" s="100"/>
      <c r="C31" s="112" t="s">
        <v>99</v>
      </c>
      <c r="D31" s="13"/>
      <c r="E31" s="13"/>
      <c r="F31" s="13"/>
      <c r="G31" s="13"/>
      <c r="H31" s="13"/>
    </row>
    <row r="32" spans="1:8" ht="12.75">
      <c r="A32" s="213" t="s">
        <v>279</v>
      </c>
      <c r="B32" s="100"/>
      <c r="C32" s="112" t="s">
        <v>99</v>
      </c>
      <c r="D32" s="13"/>
      <c r="E32" s="13"/>
      <c r="F32" s="13"/>
      <c r="G32" s="13"/>
      <c r="H32" s="13"/>
    </row>
    <row r="33" spans="1:8" ht="12.75">
      <c r="A33" s="213" t="s">
        <v>268</v>
      </c>
      <c r="B33" s="122">
        <f>SUM(B30:B32)</f>
        <v>0</v>
      </c>
      <c r="C33" s="112" t="s">
        <v>99</v>
      </c>
      <c r="D33" s="13"/>
      <c r="E33" s="13"/>
      <c r="F33" s="13"/>
      <c r="G33" s="13"/>
      <c r="H33" s="13"/>
    </row>
    <row r="34" spans="1:8" ht="12.75">
      <c r="A34" s="225" t="s">
        <v>280</v>
      </c>
      <c r="B34" s="122">
        <f>SUM(B30:B31)</f>
        <v>0</v>
      </c>
      <c r="C34" s="112" t="s">
        <v>99</v>
      </c>
      <c r="D34" s="13"/>
      <c r="E34" s="13"/>
      <c r="F34" s="13"/>
      <c r="G34" s="13"/>
      <c r="H34" s="13"/>
    </row>
    <row r="35" spans="1:8" ht="6" customHeight="1">
      <c r="A35" s="226"/>
      <c r="B35" s="224"/>
      <c r="C35" s="304"/>
      <c r="D35" s="21"/>
      <c r="E35" s="21"/>
      <c r="F35" s="21"/>
      <c r="G35" s="21"/>
      <c r="H35" s="21"/>
    </row>
    <row r="36" spans="1:8" ht="12.75">
      <c r="A36" s="225" t="s">
        <v>95</v>
      </c>
      <c r="B36" s="122">
        <f>IF(B33=0,"",B34/B33)</f>
      </c>
      <c r="C36" s="112" t="s">
        <v>281</v>
      </c>
      <c r="D36" s="294"/>
      <c r="E36" s="294"/>
      <c r="F36" s="294"/>
      <c r="G36" s="294"/>
      <c r="H36" s="294"/>
    </row>
    <row r="37" spans="1:8" ht="15.75">
      <c r="A37" s="225" t="s">
        <v>392</v>
      </c>
      <c r="B37" s="122">
        <f>IF(B33=0,0,0.05+0.9*B36)</f>
        <v>0</v>
      </c>
      <c r="C37" s="112" t="s">
        <v>104</v>
      </c>
      <c r="D37" s="294"/>
      <c r="E37" s="294"/>
      <c r="F37" s="294"/>
      <c r="G37" s="294"/>
      <c r="H37" s="294"/>
    </row>
    <row r="38" spans="1:8" ht="15" customHeight="1">
      <c r="A38" s="225" t="s">
        <v>284</v>
      </c>
      <c r="B38" s="122">
        <v>0.9</v>
      </c>
      <c r="C38" s="112" t="s">
        <v>74</v>
      </c>
      <c r="D38" s="294"/>
      <c r="E38" s="294"/>
      <c r="F38" s="294"/>
      <c r="G38" s="294"/>
      <c r="H38" s="294"/>
    </row>
    <row r="39" spans="1:8" ht="6" customHeight="1" thickBot="1">
      <c r="A39" s="226"/>
      <c r="B39" s="224"/>
      <c r="C39" s="304"/>
      <c r="D39" s="294"/>
      <c r="E39" s="294"/>
      <c r="F39" s="294"/>
      <c r="G39" s="294"/>
      <c r="H39" s="294"/>
    </row>
    <row r="40" spans="1:8" ht="14.25" customHeight="1" thickBot="1">
      <c r="A40" s="227" t="s">
        <v>283</v>
      </c>
      <c r="B40" s="229">
        <f>B33*B37*B38/12</f>
        <v>0</v>
      </c>
      <c r="C40" s="230" t="s">
        <v>282</v>
      </c>
      <c r="D40" s="294"/>
      <c r="E40" s="294"/>
      <c r="F40" s="294"/>
      <c r="G40" s="294"/>
      <c r="H40" s="294"/>
    </row>
    <row r="41" spans="1:8" ht="17.25" customHeight="1" thickBot="1">
      <c r="A41" s="293"/>
      <c r="B41" s="294"/>
      <c r="C41" s="294"/>
      <c r="D41" s="294"/>
      <c r="E41" s="294"/>
      <c r="F41" s="20"/>
      <c r="G41" s="20"/>
      <c r="H41" s="20"/>
    </row>
    <row r="42" spans="1:3" ht="14.25" customHeight="1" thickBot="1">
      <c r="A42" s="228" t="s">
        <v>277</v>
      </c>
      <c r="B42" s="217" t="s">
        <v>163</v>
      </c>
      <c r="C42" s="232" t="s">
        <v>102</v>
      </c>
    </row>
    <row r="43" spans="1:8" ht="13.5" thickTop="1">
      <c r="A43" s="215" t="s">
        <v>269</v>
      </c>
      <c r="B43" s="99"/>
      <c r="C43" s="231" t="s">
        <v>99</v>
      </c>
      <c r="D43" s="24"/>
      <c r="E43" s="24"/>
      <c r="F43" s="24"/>
      <c r="G43" s="24"/>
      <c r="H43" s="24"/>
    </row>
    <row r="44" spans="1:8" ht="12.75">
      <c r="A44" s="213" t="s">
        <v>270</v>
      </c>
      <c r="B44" s="100"/>
      <c r="C44" s="112" t="s">
        <v>99</v>
      </c>
      <c r="D44" s="13"/>
      <c r="E44" s="13"/>
      <c r="F44" s="13"/>
      <c r="G44" s="13"/>
      <c r="H44" s="13"/>
    </row>
    <row r="45" spans="1:8" ht="12.75">
      <c r="A45" s="213" t="s">
        <v>279</v>
      </c>
      <c r="B45" s="100"/>
      <c r="C45" s="112" t="s">
        <v>99</v>
      </c>
      <c r="D45" s="13"/>
      <c r="E45" s="13"/>
      <c r="F45" s="13"/>
      <c r="G45" s="13"/>
      <c r="H45" s="13"/>
    </row>
    <row r="46" spans="1:8" ht="12.75">
      <c r="A46" s="213" t="s">
        <v>268</v>
      </c>
      <c r="B46" s="122">
        <f>SUM(B43:B45)</f>
        <v>0</v>
      </c>
      <c r="C46" s="112" t="s">
        <v>99</v>
      </c>
      <c r="D46" s="13"/>
      <c r="E46" s="13"/>
      <c r="F46" s="13"/>
      <c r="G46" s="13"/>
      <c r="H46" s="13"/>
    </row>
    <row r="47" spans="1:8" ht="12.75">
      <c r="A47" s="225" t="s">
        <v>280</v>
      </c>
      <c r="B47" s="122">
        <f>SUM(B43:B44)</f>
        <v>0</v>
      </c>
      <c r="C47" s="112" t="s">
        <v>99</v>
      </c>
      <c r="D47" s="13"/>
      <c r="E47" s="13"/>
      <c r="F47" s="13"/>
      <c r="G47" s="13"/>
      <c r="H47" s="13"/>
    </row>
    <row r="48" spans="1:8" ht="6" customHeight="1">
      <c r="A48" s="226"/>
      <c r="B48" s="224"/>
      <c r="C48" s="304"/>
      <c r="D48" s="21"/>
      <c r="E48" s="21"/>
      <c r="F48" s="21"/>
      <c r="G48" s="21"/>
      <c r="H48" s="21"/>
    </row>
    <row r="49" spans="1:8" ht="12.75">
      <c r="A49" s="225" t="s">
        <v>95</v>
      </c>
      <c r="B49" s="122">
        <f>IF(B46=0,"",B47/B46)</f>
      </c>
      <c r="C49" s="112" t="s">
        <v>281</v>
      </c>
      <c r="D49" s="294"/>
      <c r="E49" s="294"/>
      <c r="F49" s="294"/>
      <c r="G49" s="294"/>
      <c r="H49" s="294"/>
    </row>
    <row r="50" spans="1:8" ht="15.75">
      <c r="A50" s="225" t="s">
        <v>392</v>
      </c>
      <c r="B50" s="122">
        <f>IF(B46=0,0,0.05+0.9*B49)</f>
        <v>0</v>
      </c>
      <c r="C50" s="112" t="s">
        <v>104</v>
      </c>
      <c r="D50" s="294"/>
      <c r="E50" s="294"/>
      <c r="F50" s="294"/>
      <c r="G50" s="294"/>
      <c r="H50" s="294"/>
    </row>
    <row r="51" spans="1:8" ht="15" customHeight="1">
      <c r="A51" s="225" t="s">
        <v>284</v>
      </c>
      <c r="B51" s="122">
        <v>0.9</v>
      </c>
      <c r="C51" s="112" t="s">
        <v>74</v>
      </c>
      <c r="D51" s="294"/>
      <c r="E51" s="294"/>
      <c r="F51" s="294"/>
      <c r="G51" s="294"/>
      <c r="H51" s="294"/>
    </row>
    <row r="52" spans="1:8" ht="6" customHeight="1" thickBot="1">
      <c r="A52" s="226"/>
      <c r="B52" s="224"/>
      <c r="C52" s="304"/>
      <c r="D52" s="294"/>
      <c r="E52" s="294"/>
      <c r="F52" s="294"/>
      <c r="G52" s="294"/>
      <c r="H52" s="294"/>
    </row>
    <row r="53" spans="1:8" ht="14.25" customHeight="1" thickBot="1">
      <c r="A53" s="227" t="s">
        <v>283</v>
      </c>
      <c r="B53" s="229">
        <f>B46*B50*B51/12</f>
        <v>0</v>
      </c>
      <c r="C53" s="230" t="s">
        <v>282</v>
      </c>
      <c r="D53" s="294"/>
      <c r="E53" s="294"/>
      <c r="F53" s="294"/>
      <c r="G53" s="294"/>
      <c r="H53" s="294"/>
    </row>
    <row r="54" spans="1:8" ht="12.75">
      <c r="A54" s="293"/>
      <c r="B54" s="294"/>
      <c r="C54" s="294"/>
      <c r="D54" s="294"/>
      <c r="E54" s="294"/>
      <c r="F54" s="20"/>
      <c r="G54" s="20"/>
      <c r="H54" s="20"/>
    </row>
    <row r="55" spans="1:8" ht="12.75">
      <c r="A55" s="369" t="s">
        <v>22</v>
      </c>
      <c r="B55" s="369"/>
      <c r="C55" s="369"/>
      <c r="D55" s="294"/>
      <c r="E55" s="294"/>
      <c r="F55" s="20"/>
      <c r="G55" s="20"/>
      <c r="H55" s="20"/>
    </row>
    <row r="56" spans="1:8" ht="12.75">
      <c r="A56" s="293"/>
      <c r="B56" s="294"/>
      <c r="C56" s="294"/>
      <c r="D56" s="294"/>
      <c r="E56" s="294"/>
      <c r="F56" s="20"/>
      <c r="G56" s="20"/>
      <c r="H56" s="20"/>
    </row>
    <row r="57" spans="1:8" ht="12.75">
      <c r="A57" s="293"/>
      <c r="B57" s="294"/>
      <c r="C57" s="294"/>
      <c r="E57" s="294"/>
      <c r="F57" s="20"/>
      <c r="G57" s="20"/>
      <c r="H57" s="20"/>
    </row>
    <row r="58" spans="1:8" ht="12.75">
      <c r="A58" s="293"/>
      <c r="B58" s="294"/>
      <c r="C58" s="294"/>
      <c r="E58" s="294"/>
      <c r="F58" s="20"/>
      <c r="G58" s="20"/>
      <c r="H58" s="20"/>
    </row>
    <row r="59" spans="1:8" ht="12.75">
      <c r="A59" s="88" t="s">
        <v>23</v>
      </c>
      <c r="E59" s="294"/>
      <c r="F59" s="20"/>
      <c r="G59" s="20"/>
      <c r="H59" s="20"/>
    </row>
    <row r="60" spans="1:8" ht="15.75">
      <c r="A60" s="88" t="s">
        <v>396</v>
      </c>
      <c r="B60" s="292"/>
      <c r="C60" s="292"/>
      <c r="F60" s="20"/>
      <c r="G60" s="20"/>
      <c r="H60" s="20"/>
    </row>
    <row r="61" spans="1:8" ht="12.75">
      <c r="A61" s="20" t="s">
        <v>393</v>
      </c>
      <c r="B61" s="292"/>
      <c r="C61" s="292"/>
      <c r="F61" s="20"/>
      <c r="G61" s="20"/>
      <c r="H61" s="20"/>
    </row>
    <row r="62" spans="1:8" ht="15.75">
      <c r="A62" s="20" t="s">
        <v>394</v>
      </c>
      <c r="B62" s="292"/>
      <c r="C62" s="292"/>
      <c r="F62" s="20"/>
      <c r="G62" s="20"/>
      <c r="H62" s="20"/>
    </row>
    <row r="63" spans="1:8" ht="12.75">
      <c r="A63" s="88" t="s">
        <v>395</v>
      </c>
      <c r="B63" s="292"/>
      <c r="C63" s="292"/>
      <c r="F63" s="20"/>
      <c r="G63" s="20"/>
      <c r="H63" s="20"/>
    </row>
    <row r="64" spans="2:8" ht="12.75">
      <c r="B64" s="292"/>
      <c r="C64" s="292"/>
      <c r="F64" s="20"/>
      <c r="G64" s="20"/>
      <c r="H64" s="20"/>
    </row>
    <row r="65" spans="2:8" ht="12.75">
      <c r="B65" s="292"/>
      <c r="C65" s="292"/>
      <c r="F65" s="20"/>
      <c r="G65" s="20"/>
      <c r="H65" s="20"/>
    </row>
    <row r="66" spans="2:8" ht="12.75">
      <c r="B66" s="292"/>
      <c r="C66" s="292"/>
      <c r="F66" s="20"/>
      <c r="G66" s="20"/>
      <c r="H66" s="20"/>
    </row>
    <row r="67" spans="2:8" ht="12.75">
      <c r="B67" s="292"/>
      <c r="C67" s="292"/>
      <c r="F67" s="20"/>
      <c r="G67" s="20"/>
      <c r="H67" s="20"/>
    </row>
    <row r="68" spans="2:8" ht="12.75">
      <c r="B68" s="292"/>
      <c r="C68" s="292"/>
      <c r="F68" s="20"/>
      <c r="G68" s="20"/>
      <c r="H68" s="20"/>
    </row>
    <row r="69" spans="2:8" ht="12.75">
      <c r="B69" s="292"/>
      <c r="C69" s="292"/>
      <c r="F69" s="20"/>
      <c r="G69" s="20"/>
      <c r="H69" s="20"/>
    </row>
    <row r="70" spans="2:8" ht="12.75">
      <c r="B70" s="292"/>
      <c r="C70" s="292"/>
      <c r="F70" s="20"/>
      <c r="G70" s="20"/>
      <c r="H70" s="20"/>
    </row>
    <row r="71" spans="2:8" ht="12.75">
      <c r="B71" s="292"/>
      <c r="C71" s="292"/>
      <c r="F71" s="20"/>
      <c r="G71" s="20"/>
      <c r="H71" s="20"/>
    </row>
    <row r="72" spans="2:8" ht="12.75">
      <c r="B72" s="292"/>
      <c r="C72" s="292"/>
      <c r="F72" s="20"/>
      <c r="G72" s="20"/>
      <c r="H72" s="20"/>
    </row>
  </sheetData>
  <sheetProtection/>
  <mergeCells count="2">
    <mergeCell ref="A1:C1"/>
    <mergeCell ref="A55:C55"/>
  </mergeCells>
  <printOptions/>
  <pageMargins left="0.7" right="0.7" top="0.75" bottom="0.75" header="0.3" footer="0.3"/>
  <pageSetup horizontalDpi="600" verticalDpi="600" orientation="portrait" r:id="rId2"/>
  <headerFooter>
    <oddHeader>&amp;L&amp;G&amp;C&amp;"Garamond,Bold"&amp;14&amp;K009969Ohio Department of Transportation - Office of Hydraulic Engineering&amp;"Arial,Bold"&amp;10&amp;K000000
&amp;11Post-Construction BMP Calculation Spreadsheet</oddHeader>
    <oddFooter>&amp;RSpreadsheet Template
Updated January 2019</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O35"/>
  <sheetViews>
    <sheetView workbookViewId="0" topLeftCell="A1">
      <selection activeCell="A1" sqref="A1:F1"/>
    </sheetView>
  </sheetViews>
  <sheetFormatPr defaultColWidth="9.140625" defaultRowHeight="12.75"/>
  <cols>
    <col min="1" max="1" width="9.28125" style="20" bestFit="1" customWidth="1"/>
    <col min="2" max="2" width="14.7109375" style="20" bestFit="1" customWidth="1"/>
    <col min="3" max="3" width="14.57421875" style="301" bestFit="1" customWidth="1"/>
    <col min="4" max="4" width="13.8515625" style="20" customWidth="1"/>
    <col min="5" max="5" width="14.57421875" style="301" customWidth="1"/>
    <col min="6" max="6" width="14.140625" style="20" bestFit="1" customWidth="1"/>
    <col min="7" max="7" width="13.140625" style="301" bestFit="1" customWidth="1"/>
    <col min="8" max="8" width="22.140625" style="20" customWidth="1"/>
    <col min="9" max="9" width="13.140625" style="301" bestFit="1" customWidth="1"/>
    <col min="10" max="10" width="22.140625" style="20" customWidth="1"/>
    <col min="11" max="11" width="14.140625" style="20" bestFit="1" customWidth="1"/>
    <col min="12" max="12" width="20.28125" style="292" customWidth="1"/>
    <col min="13" max="14" width="9.140625" style="292" customWidth="1"/>
    <col min="15" max="15" width="16.8515625" style="20" bestFit="1" customWidth="1"/>
    <col min="16" max="16384" width="9.140625" style="20" customWidth="1"/>
  </cols>
  <sheetData>
    <row r="1" spans="1:15" ht="24" customHeight="1">
      <c r="A1" s="368" t="s">
        <v>17</v>
      </c>
      <c r="B1" s="368"/>
      <c r="C1" s="368"/>
      <c r="D1" s="368"/>
      <c r="E1" s="368"/>
      <c r="F1" s="368"/>
      <c r="G1" s="305"/>
      <c r="H1" s="305"/>
      <c r="I1" s="305"/>
      <c r="J1" s="305"/>
      <c r="K1" s="305"/>
      <c r="L1" s="305"/>
      <c r="M1" s="305"/>
      <c r="N1" s="305"/>
      <c r="O1" s="305"/>
    </row>
    <row r="2" ht="13.5" thickBot="1"/>
    <row r="3" spans="1:14" ht="43.5" customHeight="1" thickBot="1">
      <c r="A3" s="2" t="s">
        <v>6</v>
      </c>
      <c r="B3" s="3" t="s">
        <v>94</v>
      </c>
      <c r="C3" s="197" t="s">
        <v>100</v>
      </c>
      <c r="D3" s="17" t="s">
        <v>416</v>
      </c>
      <c r="E3" s="3" t="s">
        <v>258</v>
      </c>
      <c r="F3" s="198" t="s">
        <v>259</v>
      </c>
      <c r="G3" s="20"/>
      <c r="I3" s="20"/>
      <c r="L3" s="20"/>
      <c r="M3" s="20"/>
      <c r="N3" s="20"/>
    </row>
    <row r="4" spans="1:14" ht="13.5" thickTop="1">
      <c r="A4" s="145" t="s">
        <v>0</v>
      </c>
      <c r="B4" s="99">
        <v>12.42</v>
      </c>
      <c r="C4" s="99">
        <v>1.94</v>
      </c>
      <c r="D4" s="150">
        <v>5.75</v>
      </c>
      <c r="E4" s="195">
        <f>IF(D4=0,"",IF(D4&lt;=1,1,IF(D4&lt;=2,2,IF(D4&lt;=3,3,IF(D4&lt;=6,4,"Flow too high")))))</f>
        <v>4</v>
      </c>
      <c r="F4" s="199">
        <v>4</v>
      </c>
      <c r="G4" s="20"/>
      <c r="I4" s="20"/>
      <c r="L4" s="20"/>
      <c r="M4" s="20"/>
      <c r="N4" s="20"/>
    </row>
    <row r="5" spans="1:14" ht="12.75">
      <c r="A5" s="18" t="s">
        <v>1</v>
      </c>
      <c r="B5" s="100"/>
      <c r="C5" s="100"/>
      <c r="D5" s="151"/>
      <c r="E5" s="154">
        <f>IF(D5=0,"",IF(D5&lt;=1,1,IF(D5&lt;=2,2,IF(D5&lt;=3,3,IF(D5&lt;=6,4,"Flow too high")))))</f>
      </c>
      <c r="F5" s="199"/>
      <c r="G5" s="20"/>
      <c r="I5" s="20"/>
      <c r="L5" s="20"/>
      <c r="M5" s="20"/>
      <c r="N5" s="20"/>
    </row>
    <row r="6" spans="1:14" ht="12.75">
      <c r="A6" s="18" t="s">
        <v>2</v>
      </c>
      <c r="B6" s="100"/>
      <c r="C6" s="100"/>
      <c r="D6" s="151"/>
      <c r="E6" s="154">
        <f>IF(D6=0,"",IF(D6&lt;=1,1,IF(D6&lt;=2,2,IF(D6&lt;=3,3,IF(D6&lt;=6,4,"Flow too high")))))</f>
      </c>
      <c r="F6" s="199"/>
      <c r="G6" s="20"/>
      <c r="I6" s="20"/>
      <c r="L6" s="20"/>
      <c r="M6" s="20"/>
      <c r="N6" s="20"/>
    </row>
    <row r="7" spans="1:14" ht="12.75">
      <c r="A7" s="18" t="s">
        <v>91</v>
      </c>
      <c r="B7" s="100"/>
      <c r="C7" s="100"/>
      <c r="D7" s="151"/>
      <c r="E7" s="154">
        <f>IF(D7=0,"",IF(D7&lt;=1,1,IF(D7&lt;=2,2,IF(D7&lt;=3,3,IF(D7&lt;=6,4,"Flow too high")))))</f>
      </c>
      <c r="F7" s="199"/>
      <c r="G7" s="20"/>
      <c r="I7" s="20"/>
      <c r="L7" s="20"/>
      <c r="M7" s="20"/>
      <c r="N7" s="20"/>
    </row>
    <row r="8" spans="1:14" ht="13.5" thickBot="1">
      <c r="A8" s="19" t="s">
        <v>92</v>
      </c>
      <c r="B8" s="101"/>
      <c r="C8" s="101"/>
      <c r="D8" s="152"/>
      <c r="E8" s="201">
        <f>IF(D8=0,"",IF(D8&lt;=1,1,IF(D8&lt;=2,2,IF(D8&lt;=3,3,IF(D8&lt;=6,4,"Flow too high")))))</f>
      </c>
      <c r="F8" s="274"/>
      <c r="G8" s="20"/>
      <c r="I8" s="20"/>
      <c r="L8" s="20"/>
      <c r="M8" s="20"/>
      <c r="N8" s="20"/>
    </row>
    <row r="9" spans="1:14" ht="12.75">
      <c r="A9" s="293"/>
      <c r="B9" s="293"/>
      <c r="C9" s="303"/>
      <c r="D9" s="293"/>
      <c r="E9" s="303"/>
      <c r="F9" s="293"/>
      <c r="G9" s="303"/>
      <c r="H9" s="293"/>
      <c r="I9" s="303"/>
      <c r="J9" s="293"/>
      <c r="K9" s="293"/>
      <c r="L9" s="294"/>
      <c r="M9" s="294"/>
      <c r="N9" s="294"/>
    </row>
    <row r="10" spans="1:15" ht="12.75">
      <c r="A10" s="369" t="s">
        <v>22</v>
      </c>
      <c r="B10" s="369"/>
      <c r="C10" s="369"/>
      <c r="D10" s="369"/>
      <c r="E10" s="369"/>
      <c r="F10" s="21"/>
      <c r="G10" s="21"/>
      <c r="H10" s="21"/>
      <c r="I10" s="21"/>
      <c r="J10" s="21"/>
      <c r="K10" s="21"/>
      <c r="L10" s="21"/>
      <c r="M10" s="21"/>
      <c r="N10" s="21"/>
      <c r="O10" s="21"/>
    </row>
    <row r="11" spans="1:14" ht="12.75">
      <c r="A11" s="293"/>
      <c r="B11" s="293"/>
      <c r="C11" s="303"/>
      <c r="E11" s="97" t="s">
        <v>97</v>
      </c>
      <c r="F11" s="293"/>
      <c r="G11" s="303"/>
      <c r="H11" s="293"/>
      <c r="I11" s="303"/>
      <c r="J11" s="293"/>
      <c r="K11" s="293"/>
      <c r="L11" s="294"/>
      <c r="M11" s="294"/>
      <c r="N11" s="294"/>
    </row>
    <row r="12" spans="1:14" ht="12.75">
      <c r="A12" s="293"/>
      <c r="B12" s="293"/>
      <c r="C12" s="155">
        <f>SUM(C4:C8)</f>
        <v>1.94</v>
      </c>
      <c r="D12" s="98" t="s">
        <v>99</v>
      </c>
      <c r="E12" s="303"/>
      <c r="F12" s="293"/>
      <c r="G12" s="303"/>
      <c r="H12" s="293"/>
      <c r="I12" s="303"/>
      <c r="J12" s="293"/>
      <c r="K12" s="293"/>
      <c r="L12" s="294"/>
      <c r="M12" s="294"/>
      <c r="N12" s="294"/>
    </row>
    <row r="13" spans="1:14" ht="12.75">
      <c r="A13" s="293"/>
      <c r="B13" s="293"/>
      <c r="C13" s="303"/>
      <c r="D13" s="96" t="s">
        <v>98</v>
      </c>
      <c r="E13" s="303"/>
      <c r="F13" s="293"/>
      <c r="G13" s="303"/>
      <c r="H13" s="293"/>
      <c r="I13" s="303"/>
      <c r="J13" s="293"/>
      <c r="K13" s="293"/>
      <c r="L13" s="294"/>
      <c r="M13" s="294"/>
      <c r="N13" s="294"/>
    </row>
    <row r="14" spans="1:14" ht="12.75">
      <c r="A14" s="293"/>
      <c r="B14" s="293"/>
      <c r="C14" s="303"/>
      <c r="D14" s="293"/>
      <c r="E14" s="303"/>
      <c r="F14" s="293"/>
      <c r="G14" s="303"/>
      <c r="H14" s="293"/>
      <c r="I14" s="303"/>
      <c r="J14" s="293"/>
      <c r="K14" s="293"/>
      <c r="L14" s="294"/>
      <c r="M14" s="294"/>
      <c r="N14" s="294"/>
    </row>
    <row r="15" spans="1:14" ht="12.75">
      <c r="A15" s="299" t="s">
        <v>75</v>
      </c>
      <c r="C15" s="20"/>
      <c r="E15" s="20"/>
      <c r="G15" s="20"/>
      <c r="H15" s="293"/>
      <c r="I15" s="303"/>
      <c r="M15" s="294"/>
      <c r="N15" s="294"/>
    </row>
    <row r="16" spans="1:14" ht="25.5" customHeight="1">
      <c r="A16" s="370" t="s">
        <v>260</v>
      </c>
      <c r="B16" s="371"/>
      <c r="C16" s="371"/>
      <c r="D16" s="372"/>
      <c r="E16" s="202" t="s">
        <v>8</v>
      </c>
      <c r="F16" s="254" t="str">
        <f>IF(E16="Yes","Good","CHECK DESIGN")</f>
        <v>Good</v>
      </c>
      <c r="G16" s="293"/>
      <c r="H16" s="303"/>
      <c r="I16" s="20"/>
      <c r="J16" s="293"/>
      <c r="K16" s="294"/>
      <c r="L16" s="294"/>
      <c r="M16" s="294"/>
      <c r="N16" s="20"/>
    </row>
    <row r="17" spans="1:14" ht="25.5" customHeight="1">
      <c r="A17" s="370" t="s">
        <v>261</v>
      </c>
      <c r="B17" s="371"/>
      <c r="C17" s="371"/>
      <c r="D17" s="372"/>
      <c r="E17" s="202" t="s">
        <v>9</v>
      </c>
      <c r="F17" s="254" t="str">
        <f>IF(E17="No","Good","CHECK DESIGN")</f>
        <v>Good</v>
      </c>
      <c r="G17" s="293"/>
      <c r="H17" s="303"/>
      <c r="I17" s="20"/>
      <c r="K17" s="292"/>
      <c r="L17" s="294"/>
      <c r="M17" s="294"/>
      <c r="N17" s="20"/>
    </row>
    <row r="18" spans="1:14" ht="12.75">
      <c r="A18" s="370" t="s">
        <v>262</v>
      </c>
      <c r="B18" s="371"/>
      <c r="C18" s="371"/>
      <c r="D18" s="372"/>
      <c r="E18" s="202" t="s">
        <v>9</v>
      </c>
      <c r="F18" s="254" t="str">
        <f>IF(E18="No","Good","CHECK DESIGN")</f>
        <v>Good</v>
      </c>
      <c r="G18" s="293"/>
      <c r="H18" s="303"/>
      <c r="I18" s="293"/>
      <c r="J18" s="293"/>
      <c r="K18" s="294"/>
      <c r="L18" s="294"/>
      <c r="M18" s="294"/>
      <c r="N18" s="20"/>
    </row>
    <row r="19" spans="1:14" ht="25.5" customHeight="1">
      <c r="A19" s="370" t="s">
        <v>263</v>
      </c>
      <c r="B19" s="371"/>
      <c r="C19" s="371"/>
      <c r="D19" s="372"/>
      <c r="E19" s="202" t="s">
        <v>9</v>
      </c>
      <c r="F19" s="254" t="str">
        <f>IF(E19="No","Good","CHECK DESIGN")</f>
        <v>Good</v>
      </c>
      <c r="G19" s="20"/>
      <c r="H19" s="301"/>
      <c r="I19" s="20"/>
      <c r="K19" s="292"/>
      <c r="M19" s="20"/>
      <c r="N19" s="82"/>
    </row>
    <row r="20" spans="1:14" ht="25.5" customHeight="1">
      <c r="A20" s="370" t="s">
        <v>264</v>
      </c>
      <c r="B20" s="371"/>
      <c r="C20" s="371"/>
      <c r="D20" s="372"/>
      <c r="E20" s="202" t="s">
        <v>8</v>
      </c>
      <c r="F20" s="254" t="str">
        <f>IF(E20="Yes","Good","CHECK DESIGN")</f>
        <v>Good</v>
      </c>
      <c r="G20" s="20"/>
      <c r="H20" s="301"/>
      <c r="I20" s="20"/>
      <c r="K20" s="292"/>
      <c r="M20" s="294"/>
      <c r="N20" s="20"/>
    </row>
    <row r="21" spans="1:14" ht="12.75">
      <c r="A21" s="293"/>
      <c r="B21" s="293"/>
      <c r="C21" s="303"/>
      <c r="D21" s="293"/>
      <c r="E21" s="303"/>
      <c r="F21" s="148"/>
      <c r="N21" s="294"/>
    </row>
    <row r="22" spans="1:14" ht="12.75">
      <c r="A22" s="293"/>
      <c r="B22" s="293"/>
      <c r="C22" s="303"/>
      <c r="D22" s="293"/>
      <c r="E22" s="303"/>
      <c r="F22" s="293"/>
      <c r="N22" s="294"/>
    </row>
    <row r="23" spans="1:14" ht="12.75">
      <c r="A23" s="293"/>
      <c r="B23" s="293"/>
      <c r="C23" s="303"/>
      <c r="D23" s="293"/>
      <c r="E23" s="303"/>
      <c r="F23" s="293"/>
      <c r="N23" s="294"/>
    </row>
    <row r="24" spans="1:14" ht="12.75">
      <c r="A24" s="293"/>
      <c r="B24" s="293"/>
      <c r="C24" s="303"/>
      <c r="D24" s="293"/>
      <c r="E24" s="303"/>
      <c r="F24" s="293"/>
      <c r="N24" s="294"/>
    </row>
    <row r="25" spans="1:14" ht="12.75">
      <c r="A25" s="293"/>
      <c r="B25" s="293"/>
      <c r="C25" s="303"/>
      <c r="D25" s="293"/>
      <c r="E25" s="303"/>
      <c r="F25" s="293"/>
      <c r="G25" s="303"/>
      <c r="H25" s="293"/>
      <c r="I25" s="303"/>
      <c r="J25" s="293"/>
      <c r="K25" s="293"/>
      <c r="L25" s="294"/>
      <c r="M25" s="294"/>
      <c r="N25" s="20"/>
    </row>
    <row r="26" spans="1:14" ht="12.75">
      <c r="A26" s="293"/>
      <c r="B26" s="293"/>
      <c r="C26" s="303"/>
      <c r="D26" s="293"/>
      <c r="E26" s="303"/>
      <c r="F26" s="293"/>
      <c r="G26" s="303"/>
      <c r="H26" s="293"/>
      <c r="I26" s="303"/>
      <c r="J26" s="293"/>
      <c r="K26" s="293"/>
      <c r="L26" s="294"/>
      <c r="M26" s="294"/>
      <c r="N26" s="20"/>
    </row>
    <row r="27" spans="1:14" ht="12.75">
      <c r="A27" s="293"/>
      <c r="B27" s="293"/>
      <c r="C27" s="303"/>
      <c r="D27" s="293"/>
      <c r="E27" s="303"/>
      <c r="F27" s="293"/>
      <c r="G27" s="303"/>
      <c r="H27" s="293"/>
      <c r="I27" s="303"/>
      <c r="J27" s="293"/>
      <c r="K27" s="293"/>
      <c r="L27" s="294"/>
      <c r="M27" s="294"/>
      <c r="N27" s="20"/>
    </row>
    <row r="28" spans="1:14" ht="12.75">
      <c r="A28" s="293"/>
      <c r="B28" s="293"/>
      <c r="C28" s="303"/>
      <c r="D28" s="293"/>
      <c r="E28" s="303"/>
      <c r="F28" s="293"/>
      <c r="G28" s="303"/>
      <c r="H28" s="293"/>
      <c r="I28" s="303"/>
      <c r="J28" s="293"/>
      <c r="K28" s="293"/>
      <c r="N28" s="20"/>
    </row>
    <row r="29" spans="1:14" ht="12.75">
      <c r="A29" s="293"/>
      <c r="B29" s="293"/>
      <c r="C29" s="303"/>
      <c r="D29" s="293"/>
      <c r="E29" s="303"/>
      <c r="F29" s="293"/>
      <c r="G29" s="303"/>
      <c r="H29" s="293"/>
      <c r="I29" s="303"/>
      <c r="J29" s="293"/>
      <c r="K29" s="293"/>
      <c r="N29" s="20"/>
    </row>
    <row r="30" spans="1:14" ht="12.75">
      <c r="A30" s="293"/>
      <c r="B30" s="293"/>
      <c r="C30" s="303"/>
      <c r="D30" s="293"/>
      <c r="E30" s="303"/>
      <c r="F30" s="293"/>
      <c r="G30" s="303"/>
      <c r="H30" s="293"/>
      <c r="I30" s="303"/>
      <c r="J30" s="293"/>
      <c r="K30" s="293"/>
      <c r="N30" s="294"/>
    </row>
    <row r="31" spans="1:14" ht="12.75">
      <c r="A31" s="293"/>
      <c r="B31" s="293"/>
      <c r="C31" s="303"/>
      <c r="D31" s="293"/>
      <c r="E31" s="303"/>
      <c r="F31" s="293"/>
      <c r="G31" s="303"/>
      <c r="H31" s="293"/>
      <c r="I31" s="303"/>
      <c r="J31" s="293"/>
      <c r="K31" s="293"/>
      <c r="N31" s="294"/>
    </row>
    <row r="32" spans="1:14" ht="12.75">
      <c r="A32" s="293"/>
      <c r="B32" s="293"/>
      <c r="C32" s="303"/>
      <c r="D32" s="293"/>
      <c r="E32" s="303"/>
      <c r="F32" s="293"/>
      <c r="G32" s="303"/>
      <c r="H32" s="293"/>
      <c r="I32" s="303"/>
      <c r="J32" s="293"/>
      <c r="K32" s="293"/>
      <c r="N32" s="294"/>
    </row>
    <row r="33" spans="1:11" ht="12.75">
      <c r="A33" s="293"/>
      <c r="B33" s="293"/>
      <c r="C33" s="303"/>
      <c r="D33" s="293"/>
      <c r="E33" s="303"/>
      <c r="F33" s="293"/>
      <c r="G33" s="303"/>
      <c r="H33" s="293"/>
      <c r="I33" s="303"/>
      <c r="J33" s="293"/>
      <c r="K33" s="293"/>
    </row>
    <row r="34" spans="1:11" ht="12.75">
      <c r="A34" s="293"/>
      <c r="B34" s="293"/>
      <c r="C34" s="303"/>
      <c r="D34" s="293"/>
      <c r="E34" s="303"/>
      <c r="F34" s="293"/>
      <c r="G34" s="303"/>
      <c r="H34" s="293"/>
      <c r="I34" s="303"/>
      <c r="J34" s="293"/>
      <c r="K34" s="293"/>
    </row>
    <row r="35" spans="1:11" ht="12.75">
      <c r="A35" s="293"/>
      <c r="B35" s="293"/>
      <c r="C35" s="303"/>
      <c r="D35" s="293"/>
      <c r="E35" s="303"/>
      <c r="F35" s="293"/>
      <c r="G35" s="303"/>
      <c r="H35" s="293"/>
      <c r="I35" s="303"/>
      <c r="J35" s="293"/>
      <c r="K35" s="293"/>
    </row>
  </sheetData>
  <sheetProtection/>
  <mergeCells count="7">
    <mergeCell ref="A20:D20"/>
    <mergeCell ref="A1:F1"/>
    <mergeCell ref="A10:E10"/>
    <mergeCell ref="A16:D16"/>
    <mergeCell ref="A17:D17"/>
    <mergeCell ref="A18:D18"/>
    <mergeCell ref="A19:D19"/>
  </mergeCells>
  <dataValidations count="2">
    <dataValidation type="list" allowBlank="1" showInputMessage="1" showErrorMessage="1" sqref="E16:E20">
      <formula1>YesNo</formula1>
    </dataValidation>
    <dataValidation type="list" allowBlank="1" showInputMessage="1" showErrorMessage="1" sqref="F4:F8">
      <formula1>SystemType</formula1>
    </dataValidation>
  </dataValidations>
  <printOptions/>
  <pageMargins left="0.7" right="0.7" top="0.75" bottom="0.75" header="0.3" footer="0.3"/>
  <pageSetup fitToHeight="1" fitToWidth="1" horizontalDpi="600" verticalDpi="600" orientation="portrait" r:id="rId2"/>
  <headerFooter>
    <oddHeader>&amp;L&amp;G&amp;C&amp;"Garamond,Bold"&amp;14&amp;K009969Ohio Department of Transportation - Office of Hydraulic Engineering&amp;"Arial,Bold"&amp;10&amp;K000000
&amp;11Post-Construction BMP Calculation Spreadsheet</oddHeader>
    <oddFooter>&amp;RSpreadsheet Template
Updated January 2019</oddFooter>
  </headerFooter>
  <legacyDrawingHF r:id="rId1"/>
</worksheet>
</file>

<file path=xl/worksheets/sheet6.xml><?xml version="1.0" encoding="utf-8"?>
<worksheet xmlns="http://schemas.openxmlformats.org/spreadsheetml/2006/main" xmlns:r="http://schemas.openxmlformats.org/officeDocument/2006/relationships">
  <dimension ref="A1:O25"/>
  <sheetViews>
    <sheetView workbookViewId="0" topLeftCell="A1">
      <selection activeCell="A1" sqref="A1:M1"/>
    </sheetView>
  </sheetViews>
  <sheetFormatPr defaultColWidth="9.140625" defaultRowHeight="12.75"/>
  <cols>
    <col min="1" max="1" width="13.8515625" style="20" customWidth="1"/>
    <col min="2" max="4" width="8.7109375" style="20" customWidth="1"/>
    <col min="5" max="5" width="5.7109375" style="20" customWidth="1"/>
    <col min="6" max="6" width="10.00390625" style="20" bestFit="1" customWidth="1"/>
    <col min="7" max="7" width="8.00390625" style="20" customWidth="1"/>
    <col min="8" max="8" width="7.421875" style="20" customWidth="1"/>
    <col min="9" max="9" width="9.140625" style="20" customWidth="1"/>
    <col min="10" max="10" width="9.28125" style="20" bestFit="1" customWidth="1"/>
    <col min="11" max="11" width="7.00390625" style="20" bestFit="1" customWidth="1"/>
    <col min="12" max="12" width="8.57421875" style="20" bestFit="1" customWidth="1"/>
    <col min="13" max="13" width="10.28125" style="20" bestFit="1" customWidth="1"/>
    <col min="14" max="16384" width="9.140625" style="20" customWidth="1"/>
  </cols>
  <sheetData>
    <row r="1" spans="1:13" ht="24" customHeight="1">
      <c r="A1" s="362" t="s">
        <v>125</v>
      </c>
      <c r="B1" s="362"/>
      <c r="C1" s="362"/>
      <c r="D1" s="362"/>
      <c r="E1" s="362"/>
      <c r="F1" s="362"/>
      <c r="G1" s="362"/>
      <c r="H1" s="362"/>
      <c r="I1" s="362"/>
      <c r="J1" s="362"/>
      <c r="K1" s="362"/>
      <c r="L1" s="362"/>
      <c r="M1" s="362"/>
    </row>
    <row r="2" ht="13.5" thickBot="1"/>
    <row r="3" spans="1:14" ht="59.25" customHeight="1" thickBot="1">
      <c r="A3" s="288" t="s">
        <v>265</v>
      </c>
      <c r="B3" s="289" t="s">
        <v>3</v>
      </c>
      <c r="C3" s="290" t="s">
        <v>4</v>
      </c>
      <c r="D3" s="290" t="s">
        <v>5</v>
      </c>
      <c r="E3" s="290" t="s">
        <v>7</v>
      </c>
      <c r="F3" s="290" t="s">
        <v>234</v>
      </c>
      <c r="G3" s="290" t="s">
        <v>235</v>
      </c>
      <c r="H3" s="290" t="s">
        <v>307</v>
      </c>
      <c r="I3" s="290" t="s">
        <v>233</v>
      </c>
      <c r="J3" s="217" t="s">
        <v>290</v>
      </c>
      <c r="K3" s="290" t="s">
        <v>266</v>
      </c>
      <c r="L3" s="290" t="s">
        <v>227</v>
      </c>
      <c r="M3" s="291" t="s">
        <v>228</v>
      </c>
      <c r="N3" s="296"/>
    </row>
    <row r="4" spans="1:15" ht="13.5" thickTop="1">
      <c r="A4" s="241" t="s">
        <v>170</v>
      </c>
      <c r="B4" s="268" t="s">
        <v>288</v>
      </c>
      <c r="C4" s="269">
        <v>100</v>
      </c>
      <c r="D4" s="269">
        <v>275</v>
      </c>
      <c r="E4" s="105" t="s">
        <v>222</v>
      </c>
      <c r="F4" s="196">
        <v>22</v>
      </c>
      <c r="G4" s="196">
        <v>15</v>
      </c>
      <c r="H4" s="105">
        <v>4</v>
      </c>
      <c r="I4" s="203">
        <f>ABS(C4-D4)</f>
        <v>175</v>
      </c>
      <c r="J4" s="196">
        <v>0.16</v>
      </c>
      <c r="K4" s="204">
        <v>2625</v>
      </c>
      <c r="L4" s="205">
        <f>K4*4/12/27</f>
        <v>32.407407407407405</v>
      </c>
      <c r="M4" s="206">
        <f>K4/9</f>
        <v>291.6666666666667</v>
      </c>
      <c r="O4" s="20" t="s">
        <v>220</v>
      </c>
    </row>
    <row r="5" spans="1:15" ht="12.75">
      <c r="A5" s="242" t="s">
        <v>171</v>
      </c>
      <c r="B5" s="127"/>
      <c r="C5" s="270"/>
      <c r="D5" s="270"/>
      <c r="E5" s="105"/>
      <c r="F5" s="105"/>
      <c r="G5" s="105"/>
      <c r="H5" s="105"/>
      <c r="I5" s="181">
        <f>ABS(C5-D5)</f>
        <v>0</v>
      </c>
      <c r="J5" s="105"/>
      <c r="K5" s="180"/>
      <c r="L5" s="179">
        <f aca="true" t="shared" si="0" ref="L5:L13">K5*4/12/27</f>
        <v>0</v>
      </c>
      <c r="M5" s="207">
        <f aca="true" t="shared" si="1" ref="M5:M13">K5/9</f>
        <v>0</v>
      </c>
      <c r="O5" s="20" t="s">
        <v>230</v>
      </c>
    </row>
    <row r="6" spans="1:15" ht="12.75">
      <c r="A6" s="242" t="s">
        <v>172</v>
      </c>
      <c r="B6" s="127"/>
      <c r="C6" s="270"/>
      <c r="D6" s="270"/>
      <c r="E6" s="105"/>
      <c r="F6" s="105"/>
      <c r="G6" s="105"/>
      <c r="H6" s="105"/>
      <c r="I6" s="181">
        <f aca="true" t="shared" si="2" ref="I6:I13">ABS(C6-D6)</f>
        <v>0</v>
      </c>
      <c r="J6" s="105"/>
      <c r="K6" s="180"/>
      <c r="L6" s="179">
        <f t="shared" si="0"/>
        <v>0</v>
      </c>
      <c r="M6" s="207">
        <f t="shared" si="1"/>
        <v>0</v>
      </c>
      <c r="O6" s="20" t="s">
        <v>231</v>
      </c>
    </row>
    <row r="7" spans="1:15" ht="12.75">
      <c r="A7" s="242" t="s">
        <v>173</v>
      </c>
      <c r="B7" s="127"/>
      <c r="C7" s="270"/>
      <c r="D7" s="270"/>
      <c r="E7" s="105"/>
      <c r="F7" s="105"/>
      <c r="G7" s="105"/>
      <c r="H7" s="105"/>
      <c r="I7" s="181">
        <f t="shared" si="2"/>
        <v>0</v>
      </c>
      <c r="J7" s="105"/>
      <c r="K7" s="180"/>
      <c r="L7" s="179">
        <f t="shared" si="0"/>
        <v>0</v>
      </c>
      <c r="M7" s="207">
        <f t="shared" si="1"/>
        <v>0</v>
      </c>
      <c r="O7" s="20" t="s">
        <v>344</v>
      </c>
    </row>
    <row r="8" spans="1:15" ht="12.75">
      <c r="A8" s="242" t="s">
        <v>174</v>
      </c>
      <c r="B8" s="127"/>
      <c r="C8" s="270"/>
      <c r="D8" s="270"/>
      <c r="E8" s="105"/>
      <c r="F8" s="105"/>
      <c r="G8" s="105"/>
      <c r="H8" s="105"/>
      <c r="I8" s="181">
        <f t="shared" si="2"/>
        <v>0</v>
      </c>
      <c r="J8" s="105"/>
      <c r="K8" s="180"/>
      <c r="L8" s="179">
        <f t="shared" si="0"/>
        <v>0</v>
      </c>
      <c r="M8" s="207">
        <f t="shared" si="1"/>
        <v>0</v>
      </c>
      <c r="O8" s="20" t="s">
        <v>232</v>
      </c>
    </row>
    <row r="9" spans="1:13" ht="12.75">
      <c r="A9" s="242" t="s">
        <v>175</v>
      </c>
      <c r="B9" s="127"/>
      <c r="C9" s="270"/>
      <c r="D9" s="270"/>
      <c r="E9" s="105"/>
      <c r="F9" s="105"/>
      <c r="G9" s="105"/>
      <c r="H9" s="105"/>
      <c r="I9" s="181">
        <f t="shared" si="2"/>
        <v>0</v>
      </c>
      <c r="J9" s="105"/>
      <c r="K9" s="180"/>
      <c r="L9" s="179">
        <f t="shared" si="0"/>
        <v>0</v>
      </c>
      <c r="M9" s="207">
        <f t="shared" si="1"/>
        <v>0</v>
      </c>
    </row>
    <row r="10" spans="1:13" ht="12.75">
      <c r="A10" s="242" t="s">
        <v>176</v>
      </c>
      <c r="B10" s="127"/>
      <c r="C10" s="270"/>
      <c r="D10" s="270"/>
      <c r="E10" s="105"/>
      <c r="F10" s="105"/>
      <c r="G10" s="105"/>
      <c r="H10" s="105"/>
      <c r="I10" s="181">
        <f t="shared" si="2"/>
        <v>0</v>
      </c>
      <c r="J10" s="105"/>
      <c r="K10" s="180"/>
      <c r="L10" s="179">
        <f t="shared" si="0"/>
        <v>0</v>
      </c>
      <c r="M10" s="207">
        <f t="shared" si="1"/>
        <v>0</v>
      </c>
    </row>
    <row r="11" spans="1:13" ht="12.75">
      <c r="A11" s="242" t="s">
        <v>177</v>
      </c>
      <c r="B11" s="127"/>
      <c r="C11" s="270"/>
      <c r="D11" s="270"/>
      <c r="E11" s="105"/>
      <c r="F11" s="105"/>
      <c r="G11" s="105"/>
      <c r="H11" s="105"/>
      <c r="I11" s="181">
        <f t="shared" si="2"/>
        <v>0</v>
      </c>
      <c r="J11" s="105"/>
      <c r="K11" s="180"/>
      <c r="L11" s="179">
        <f t="shared" si="0"/>
        <v>0</v>
      </c>
      <c r="M11" s="207">
        <f t="shared" si="1"/>
        <v>0</v>
      </c>
    </row>
    <row r="12" spans="1:13" ht="12.75">
      <c r="A12" s="242" t="s">
        <v>178</v>
      </c>
      <c r="B12" s="127"/>
      <c r="C12" s="270"/>
      <c r="D12" s="270"/>
      <c r="E12" s="105"/>
      <c r="F12" s="105"/>
      <c r="G12" s="105"/>
      <c r="H12" s="105"/>
      <c r="I12" s="181">
        <f t="shared" si="2"/>
        <v>0</v>
      </c>
      <c r="J12" s="105"/>
      <c r="K12" s="180"/>
      <c r="L12" s="179">
        <f t="shared" si="0"/>
        <v>0</v>
      </c>
      <c r="M12" s="207">
        <f t="shared" si="1"/>
        <v>0</v>
      </c>
    </row>
    <row r="13" spans="1:13" ht="13.5" thickBot="1">
      <c r="A13" s="243" t="s">
        <v>179</v>
      </c>
      <c r="B13" s="271"/>
      <c r="C13" s="272"/>
      <c r="D13" s="272"/>
      <c r="E13" s="208"/>
      <c r="F13" s="208"/>
      <c r="G13" s="208"/>
      <c r="H13" s="208"/>
      <c r="I13" s="209">
        <f t="shared" si="2"/>
        <v>0</v>
      </c>
      <c r="J13" s="208"/>
      <c r="K13" s="210"/>
      <c r="L13" s="211">
        <f t="shared" si="0"/>
        <v>0</v>
      </c>
      <c r="M13" s="212">
        <f t="shared" si="1"/>
        <v>0</v>
      </c>
    </row>
    <row r="14" spans="2:8" ht="12.75">
      <c r="B14" s="24"/>
      <c r="C14" s="24"/>
      <c r="D14" s="24"/>
      <c r="E14" s="24"/>
      <c r="F14" s="24"/>
      <c r="G14" s="24"/>
      <c r="H14" s="24"/>
    </row>
    <row r="15" spans="5:11" ht="12.75">
      <c r="E15" s="306"/>
      <c r="I15" s="306" t="s">
        <v>316</v>
      </c>
      <c r="J15" s="177">
        <f>SUM(J4:J13)</f>
        <v>0.16</v>
      </c>
      <c r="K15" s="128" t="s">
        <v>99</v>
      </c>
    </row>
    <row r="16" spans="5:9" ht="12.75">
      <c r="E16" s="82"/>
      <c r="I16" s="82" t="s">
        <v>98</v>
      </c>
    </row>
    <row r="18" spans="1:11" ht="12.75">
      <c r="A18" s="299" t="s">
        <v>75</v>
      </c>
      <c r="B18" s="299"/>
      <c r="C18" s="299"/>
      <c r="D18" s="299"/>
      <c r="E18" s="299"/>
      <c r="F18" s="299"/>
      <c r="G18" s="299"/>
      <c r="J18" s="295" t="s">
        <v>166</v>
      </c>
      <c r="K18" s="307" t="s">
        <v>167</v>
      </c>
    </row>
    <row r="19" spans="1:15" ht="12.75">
      <c r="A19" s="103">
        <v>1</v>
      </c>
      <c r="B19" s="373" t="s">
        <v>257</v>
      </c>
      <c r="C19" s="373"/>
      <c r="D19" s="373"/>
      <c r="E19" s="373"/>
      <c r="F19" s="373"/>
      <c r="G19" s="373"/>
      <c r="H19" s="373"/>
      <c r="I19" s="373"/>
      <c r="J19" s="178" t="s">
        <v>8</v>
      </c>
      <c r="K19" s="254" t="str">
        <f>IF(J19="Yes","Good","CHECK DESIGN")</f>
        <v>Good</v>
      </c>
      <c r="O19" s="20" t="s">
        <v>211</v>
      </c>
    </row>
    <row r="20" spans="1:11" ht="12.75">
      <c r="A20" s="103">
        <v>2</v>
      </c>
      <c r="B20" s="373" t="s">
        <v>229</v>
      </c>
      <c r="C20" s="373"/>
      <c r="D20" s="373"/>
      <c r="E20" s="373"/>
      <c r="F20" s="373"/>
      <c r="G20" s="373"/>
      <c r="H20" s="373"/>
      <c r="I20" s="373"/>
      <c r="J20" s="178" t="s">
        <v>8</v>
      </c>
      <c r="K20" s="254" t="str">
        <f>IF(J20="No","CHECK DESIGN","Good")</f>
        <v>Good</v>
      </c>
    </row>
    <row r="21" spans="1:11" ht="12.75">
      <c r="A21" s="103">
        <v>3</v>
      </c>
      <c r="B21" s="373" t="s">
        <v>180</v>
      </c>
      <c r="C21" s="373"/>
      <c r="D21" s="373"/>
      <c r="E21" s="373"/>
      <c r="F21" s="373"/>
      <c r="G21" s="373"/>
      <c r="H21" s="373"/>
      <c r="I21" s="373"/>
      <c r="J21" s="178" t="s">
        <v>104</v>
      </c>
      <c r="K21" s="254" t="str">
        <f>IF(J21="No","CHECK DESIGN","Good")</f>
        <v>Good</v>
      </c>
    </row>
    <row r="22" spans="1:11" ht="12.75">
      <c r="A22" s="103">
        <v>4</v>
      </c>
      <c r="B22" s="373" t="s">
        <v>168</v>
      </c>
      <c r="C22" s="373"/>
      <c r="D22" s="373"/>
      <c r="E22" s="373"/>
      <c r="F22" s="373"/>
      <c r="G22" s="373"/>
      <c r="H22" s="373"/>
      <c r="I22" s="373"/>
      <c r="J22" s="178" t="s">
        <v>8</v>
      </c>
      <c r="K22" s="254" t="str">
        <f>IF(J22="Yes","Good","CHECK DESIGN")</f>
        <v>Good</v>
      </c>
    </row>
    <row r="23" spans="1:11" ht="12.75">
      <c r="A23" s="103">
        <v>5</v>
      </c>
      <c r="B23" s="373" t="s">
        <v>169</v>
      </c>
      <c r="C23" s="373"/>
      <c r="D23" s="373"/>
      <c r="E23" s="373"/>
      <c r="F23" s="373"/>
      <c r="G23" s="373"/>
      <c r="H23" s="373"/>
      <c r="I23" s="373"/>
      <c r="J23" s="178" t="s">
        <v>9</v>
      </c>
      <c r="K23" s="254" t="str">
        <f>IF(J23="No","Good","CHECK DESIGN")</f>
        <v>Good</v>
      </c>
    </row>
    <row r="24" spans="1:11" ht="12.75">
      <c r="A24" s="103">
        <v>6</v>
      </c>
      <c r="B24" s="373" t="s">
        <v>287</v>
      </c>
      <c r="C24" s="373"/>
      <c r="D24" s="373"/>
      <c r="E24" s="373"/>
      <c r="F24" s="373"/>
      <c r="G24" s="373"/>
      <c r="H24" s="373"/>
      <c r="I24" s="373"/>
      <c r="J24" s="178" t="s">
        <v>8</v>
      </c>
      <c r="K24" s="254" t="str">
        <f>IF(J24="Yes","Good","CHECK DESIGN")</f>
        <v>Good</v>
      </c>
    </row>
    <row r="25" spans="1:11" ht="12.75">
      <c r="A25" s="103">
        <v>7</v>
      </c>
      <c r="B25" s="373" t="s">
        <v>181</v>
      </c>
      <c r="C25" s="373"/>
      <c r="D25" s="373"/>
      <c r="E25" s="373"/>
      <c r="F25" s="373"/>
      <c r="G25" s="373"/>
      <c r="H25" s="373"/>
      <c r="I25" s="373"/>
      <c r="J25" s="178" t="s">
        <v>8</v>
      </c>
      <c r="K25" s="254" t="str">
        <f>IF(J25="Yes","Good","CHECK DESIGN")</f>
        <v>Good</v>
      </c>
    </row>
  </sheetData>
  <sheetProtection/>
  <mergeCells count="8">
    <mergeCell ref="A1:M1"/>
    <mergeCell ref="B19:I19"/>
    <mergeCell ref="B25:I25"/>
    <mergeCell ref="B24:I24"/>
    <mergeCell ref="B23:I23"/>
    <mergeCell ref="B22:I22"/>
    <mergeCell ref="B21:I21"/>
    <mergeCell ref="B20:I20"/>
  </mergeCells>
  <dataValidations count="2">
    <dataValidation type="list" allowBlank="1" showInputMessage="1" showErrorMessage="1" sqref="J19:J25">
      <formula1>YesNoNA</formula1>
    </dataValidation>
    <dataValidation type="list" allowBlank="1" showInputMessage="1" showErrorMessage="1" sqref="E4:E13">
      <formula1>Side</formula1>
    </dataValidation>
  </dataValidations>
  <printOptions/>
  <pageMargins left="0.7" right="0.7" top="0.75" bottom="0.75" header="0.3" footer="0.3"/>
  <pageSetup horizontalDpi="600" verticalDpi="600" orientation="landscape" r:id="rId2"/>
  <headerFooter>
    <oddHeader>&amp;L&amp;G&amp;C&amp;"Garamond,Bold"&amp;14&amp;K009969Ohio Department of Transportation - Office of Hydraulic Engineering&amp;"Arial,Bold"&amp;10&amp;K000000
&amp;11Post-Construction BMP Calculation Spreadsheet</oddHeader>
    <oddFooter>&amp;RSpreadsheet Template
Updated January 2019</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AA84"/>
  <sheetViews>
    <sheetView workbookViewId="0" topLeftCell="A1">
      <selection activeCell="A1" sqref="A1:Q1"/>
    </sheetView>
  </sheetViews>
  <sheetFormatPr defaultColWidth="9.140625" defaultRowHeight="12.75"/>
  <cols>
    <col min="1" max="1" width="8.00390625" style="20" customWidth="1"/>
    <col min="2" max="4" width="8.7109375" style="20" customWidth="1"/>
    <col min="5" max="5" width="5.7109375" style="24" customWidth="1"/>
    <col min="6" max="6" width="10.140625" style="24" customWidth="1"/>
    <col min="7" max="7" width="10.28125" style="24" bestFit="1" customWidth="1"/>
    <col min="8" max="8" width="7.7109375" style="24" customWidth="1"/>
    <col min="9" max="9" width="7.8515625" style="24" customWidth="1"/>
    <col min="10" max="11" width="6.8515625" style="24" customWidth="1"/>
    <col min="12" max="12" width="12.7109375" style="24" customWidth="1"/>
    <col min="13" max="13" width="12.00390625" style="24" customWidth="1"/>
    <col min="14" max="15" width="9.7109375" style="24" customWidth="1"/>
    <col min="16" max="17" width="9.28125" style="24" customWidth="1"/>
    <col min="18" max="18" width="12.421875" style="24" bestFit="1" customWidth="1"/>
    <col min="19" max="19" width="11.8515625" style="24" customWidth="1"/>
    <col min="20" max="21" width="14.28125" style="24" customWidth="1"/>
    <col min="22" max="22" width="13.421875" style="20" customWidth="1"/>
    <col min="23" max="23" width="11.7109375" style="20" customWidth="1"/>
    <col min="24" max="24" width="9.140625" style="20" customWidth="1"/>
    <col min="25" max="25" width="8.421875" style="20" bestFit="1" customWidth="1"/>
    <col min="26" max="26" width="9.28125" style="20" bestFit="1" customWidth="1"/>
    <col min="27" max="27" width="10.00390625" style="20" bestFit="1" customWidth="1"/>
    <col min="28" max="31" width="12.140625" style="20" customWidth="1"/>
    <col min="32" max="32" width="13.421875" style="20" customWidth="1"/>
    <col min="33" max="16384" width="9.140625" style="20" customWidth="1"/>
  </cols>
  <sheetData>
    <row r="1" spans="1:23" ht="24" customHeight="1">
      <c r="A1" s="368" t="s">
        <v>10</v>
      </c>
      <c r="B1" s="368"/>
      <c r="C1" s="368"/>
      <c r="D1" s="368"/>
      <c r="E1" s="368"/>
      <c r="F1" s="368"/>
      <c r="G1" s="368"/>
      <c r="H1" s="368"/>
      <c r="I1" s="368"/>
      <c r="J1" s="368"/>
      <c r="K1" s="368"/>
      <c r="L1" s="368"/>
      <c r="M1" s="368"/>
      <c r="N1" s="368"/>
      <c r="O1" s="368"/>
      <c r="P1" s="368"/>
      <c r="Q1" s="368"/>
      <c r="R1" s="183"/>
      <c r="S1" s="183"/>
      <c r="T1" s="183"/>
      <c r="U1" s="183"/>
      <c r="V1" s="183"/>
      <c r="W1" s="183"/>
    </row>
    <row r="2" spans="2:21" ht="16.5" thickBot="1">
      <c r="B2" s="22"/>
      <c r="C2" s="22"/>
      <c r="D2" s="22"/>
      <c r="E2" s="22"/>
      <c r="F2" s="235"/>
      <c r="G2" s="235"/>
      <c r="H2" s="235"/>
      <c r="I2" s="22"/>
      <c r="J2" s="22"/>
      <c r="K2" s="22"/>
      <c r="L2" s="22"/>
      <c r="M2" s="22"/>
      <c r="N2" s="22"/>
      <c r="O2" s="22"/>
      <c r="P2" s="22"/>
      <c r="Q2" s="22"/>
      <c r="R2" s="20"/>
      <c r="S2" s="20"/>
      <c r="T2" s="20"/>
      <c r="U2" s="20"/>
    </row>
    <row r="3" spans="1:25" ht="13.5" thickBot="1">
      <c r="A3" s="377" t="s">
        <v>305</v>
      </c>
      <c r="B3" s="378"/>
      <c r="C3" s="378"/>
      <c r="D3" s="378"/>
      <c r="E3" s="379"/>
      <c r="F3" s="377" t="s">
        <v>304</v>
      </c>
      <c r="G3" s="378"/>
      <c r="H3" s="379"/>
      <c r="I3" s="383" t="s">
        <v>306</v>
      </c>
      <c r="J3" s="384"/>
      <c r="K3" s="384"/>
      <c r="L3" s="384"/>
      <c r="M3" s="385"/>
      <c r="N3" s="377" t="s">
        <v>303</v>
      </c>
      <c r="O3" s="378"/>
      <c r="P3" s="378"/>
      <c r="Q3" s="379"/>
      <c r="R3" s="20"/>
      <c r="S3" s="377" t="s">
        <v>33</v>
      </c>
      <c r="T3" s="378"/>
      <c r="U3" s="378"/>
      <c r="V3" s="378"/>
      <c r="W3" s="378"/>
      <c r="X3" s="378"/>
      <c r="Y3" s="379"/>
    </row>
    <row r="4" spans="1:25" s="1" customFormat="1" ht="59.25" customHeight="1" thickBot="1">
      <c r="A4" s="256" t="s">
        <v>291</v>
      </c>
      <c r="B4" s="197" t="s">
        <v>3</v>
      </c>
      <c r="C4" s="197" t="s">
        <v>4</v>
      </c>
      <c r="D4" s="197" t="s">
        <v>5</v>
      </c>
      <c r="E4" s="92" t="s">
        <v>7</v>
      </c>
      <c r="F4" s="257" t="s">
        <v>292</v>
      </c>
      <c r="G4" s="197" t="s">
        <v>309</v>
      </c>
      <c r="H4" s="92" t="s">
        <v>24</v>
      </c>
      <c r="I4" s="256" t="s">
        <v>310</v>
      </c>
      <c r="J4" s="197" t="s">
        <v>80</v>
      </c>
      <c r="K4" s="197" t="s">
        <v>81</v>
      </c>
      <c r="L4" s="197" t="s">
        <v>25</v>
      </c>
      <c r="M4" s="92" t="s">
        <v>311</v>
      </c>
      <c r="N4" s="256" t="s">
        <v>312</v>
      </c>
      <c r="O4" s="197" t="s">
        <v>313</v>
      </c>
      <c r="P4" s="197" t="s">
        <v>314</v>
      </c>
      <c r="Q4" s="92" t="s">
        <v>315</v>
      </c>
      <c r="S4" s="2" t="s">
        <v>26</v>
      </c>
      <c r="T4" s="3" t="s">
        <v>27</v>
      </c>
      <c r="U4" s="3" t="s">
        <v>28</v>
      </c>
      <c r="V4" s="3" t="s">
        <v>29</v>
      </c>
      <c r="W4" s="3" t="s">
        <v>30</v>
      </c>
      <c r="X4" s="3" t="s">
        <v>31</v>
      </c>
      <c r="Y4" s="4" t="s">
        <v>32</v>
      </c>
    </row>
    <row r="5" spans="1:25" ht="18" customHeight="1" thickTop="1">
      <c r="A5" s="241" t="s">
        <v>293</v>
      </c>
      <c r="B5" s="15" t="s">
        <v>288</v>
      </c>
      <c r="C5" s="14">
        <v>100</v>
      </c>
      <c r="D5" s="14">
        <v>400</v>
      </c>
      <c r="E5" s="105" t="s">
        <v>289</v>
      </c>
      <c r="F5" s="244">
        <v>4</v>
      </c>
      <c r="G5" s="99">
        <v>1.1</v>
      </c>
      <c r="H5" s="245">
        <v>1.209</v>
      </c>
      <c r="I5" s="248">
        <v>8</v>
      </c>
      <c r="J5" s="75">
        <v>2</v>
      </c>
      <c r="K5" s="75">
        <v>2</v>
      </c>
      <c r="L5" s="76">
        <v>0.01</v>
      </c>
      <c r="M5" s="249">
        <v>0.15</v>
      </c>
      <c r="N5" s="252">
        <v>3.83</v>
      </c>
      <c r="O5" s="23">
        <v>0.44</v>
      </c>
      <c r="P5" s="16">
        <v>2</v>
      </c>
      <c r="Q5" s="239">
        <f>IF(I5="","",MAX(I5,P5,4))</f>
        <v>8</v>
      </c>
      <c r="R5" s="20"/>
      <c r="S5" s="275">
        <f aca="true" t="shared" si="0" ref="S5:S14">IF(I5="","",(N5/12)^2/2*(J5+K5)+N5/12*I5)</f>
        <v>2.7570680555555556</v>
      </c>
      <c r="T5" s="276">
        <f>IF(I5="","",I5+N5/12*((1+J5^2)^0.5+(1+K5^2)^0.5))</f>
        <v>9.427356725637367</v>
      </c>
      <c r="U5" s="276">
        <f>IF(T5="","",S5/T5)</f>
        <v>0.29245398639236864</v>
      </c>
      <c r="V5" s="277">
        <f>IF(L5="","",1.49/M5*S5*U5^(2/3)*L5^0.5)</f>
        <v>1.2066487280288283</v>
      </c>
      <c r="W5" s="278" t="str">
        <f aca="true" t="shared" si="1" ref="W5:W14">IF(N5&gt;4,"CHECK DESIGN",IF(V5="","",IF(ABS(V5-H5)&lt;0.05,"Good","CHECK DESIGN")))</f>
        <v>Good</v>
      </c>
      <c r="X5" s="276">
        <f>IF(S5="","",V5/S5)</f>
        <v>0.43765649005196056</v>
      </c>
      <c r="Y5" s="279" t="str">
        <f aca="true" t="shared" si="2" ref="Y5:Y14">IF(O5&gt;1,"CHECK DESIGN",IF(X5="","",IF(ABS(X5-O5)&lt;0.05,"Good","CHECK DESIGN")))</f>
        <v>Good</v>
      </c>
    </row>
    <row r="6" spans="1:25" ht="18" customHeight="1">
      <c r="A6" s="242" t="s">
        <v>296</v>
      </c>
      <c r="B6" s="15" t="s">
        <v>288</v>
      </c>
      <c r="C6" s="7">
        <v>150</v>
      </c>
      <c r="D6" s="7">
        <v>450</v>
      </c>
      <c r="E6" s="105" t="s">
        <v>222</v>
      </c>
      <c r="F6" s="244">
        <v>2.1</v>
      </c>
      <c r="G6" s="100">
        <v>1.3</v>
      </c>
      <c r="H6" s="245">
        <v>0.915</v>
      </c>
      <c r="I6" s="248">
        <v>6</v>
      </c>
      <c r="J6" s="75">
        <v>2</v>
      </c>
      <c r="K6" s="75">
        <v>2</v>
      </c>
      <c r="L6" s="76">
        <v>0.01</v>
      </c>
      <c r="M6" s="249">
        <v>0.15</v>
      </c>
      <c r="N6" s="252">
        <v>3.84</v>
      </c>
      <c r="O6" s="23">
        <v>0.43</v>
      </c>
      <c r="P6" s="9">
        <v>2</v>
      </c>
      <c r="Q6" s="239">
        <f aca="true" t="shared" si="3" ref="Q6:Q14">IF(I6="","",MAX(I6,P6,4))</f>
        <v>6</v>
      </c>
      <c r="R6" s="20"/>
      <c r="S6" s="129">
        <f t="shared" si="0"/>
        <v>2.1248</v>
      </c>
      <c r="T6" s="130">
        <f aca="true" t="shared" si="4" ref="T6:T14">IF(I6="","",I6+N6/12*((1+J6^2)^0.5+(1+K6^2)^0.5))</f>
        <v>7.431083505599865</v>
      </c>
      <c r="U6" s="131">
        <f aca="true" t="shared" si="5" ref="U6:U14">IF(T6="","",S6/T6)</f>
        <v>0.2859340765581234</v>
      </c>
      <c r="V6" s="132">
        <f aca="true" t="shared" si="6" ref="V6:V14">IF(L6="","",1.49/M6*S6*U6^(2/3)*L6^0.5)</f>
        <v>0.9160594890533642</v>
      </c>
      <c r="W6" s="77" t="str">
        <f t="shared" si="1"/>
        <v>Good</v>
      </c>
      <c r="X6" s="131">
        <f>IF(S6="","",V6/S6)</f>
        <v>0.4311273950740607</v>
      </c>
      <c r="Y6" s="79" t="str">
        <f t="shared" si="2"/>
        <v>Good</v>
      </c>
    </row>
    <row r="7" spans="1:25" ht="18" customHeight="1">
      <c r="A7" s="242" t="s">
        <v>294</v>
      </c>
      <c r="B7" s="15" t="s">
        <v>288</v>
      </c>
      <c r="C7" s="7">
        <v>150</v>
      </c>
      <c r="D7" s="7">
        <v>300</v>
      </c>
      <c r="E7" s="105" t="s">
        <v>222</v>
      </c>
      <c r="F7" s="244">
        <v>0.97</v>
      </c>
      <c r="G7" s="100">
        <v>0.57</v>
      </c>
      <c r="H7" s="245">
        <v>0.412</v>
      </c>
      <c r="I7" s="248">
        <v>3</v>
      </c>
      <c r="J7" s="75">
        <v>2</v>
      </c>
      <c r="K7" s="75">
        <v>2</v>
      </c>
      <c r="L7" s="76">
        <v>0.01</v>
      </c>
      <c r="M7" s="249">
        <v>0.15</v>
      </c>
      <c r="N7" s="252">
        <v>3.54</v>
      </c>
      <c r="O7" s="23">
        <v>0.39</v>
      </c>
      <c r="P7" s="9">
        <v>2</v>
      </c>
      <c r="Q7" s="239">
        <f t="shared" si="3"/>
        <v>4</v>
      </c>
      <c r="R7" s="20"/>
      <c r="S7" s="133">
        <f t="shared" si="0"/>
        <v>1.05905</v>
      </c>
      <c r="T7" s="130">
        <f>IF(I7="","",I7+N7/12*((1+J7^2)^0.5+(1+K7^2)^0.5))</f>
        <v>4.319280106724876</v>
      </c>
      <c r="U7" s="131">
        <f>IF(T7="","",S7/T7)</f>
        <v>0.24519132212590677</v>
      </c>
      <c r="V7" s="132">
        <f>IF(L7="","",1.49/M7*S7*U7^(2/3)*L7^0.5)</f>
        <v>0.4121116301664152</v>
      </c>
      <c r="W7" s="77" t="str">
        <f t="shared" si="1"/>
        <v>Good</v>
      </c>
      <c r="X7" s="131">
        <f aca="true" t="shared" si="7" ref="X7:X14">IF(S7="","",V7/S7)</f>
        <v>0.3891333083106701</v>
      </c>
      <c r="Y7" s="79" t="str">
        <f t="shared" si="2"/>
        <v>Good</v>
      </c>
    </row>
    <row r="8" spans="1:25" ht="18" customHeight="1">
      <c r="A8" s="242" t="s">
        <v>297</v>
      </c>
      <c r="B8" s="15" t="s">
        <v>288</v>
      </c>
      <c r="C8" s="7">
        <v>150</v>
      </c>
      <c r="D8" s="7">
        <v>300</v>
      </c>
      <c r="E8" s="105" t="s">
        <v>222</v>
      </c>
      <c r="F8" s="244">
        <v>0.97</v>
      </c>
      <c r="G8" s="100">
        <v>0.57</v>
      </c>
      <c r="H8" s="245">
        <v>0.412</v>
      </c>
      <c r="I8" s="248">
        <v>4</v>
      </c>
      <c r="J8" s="75">
        <v>2</v>
      </c>
      <c r="K8" s="75">
        <v>2</v>
      </c>
      <c r="L8" s="76">
        <v>0.01</v>
      </c>
      <c r="M8" s="249">
        <v>0.15</v>
      </c>
      <c r="N8" s="252">
        <v>3.02</v>
      </c>
      <c r="O8" s="23">
        <v>0.36</v>
      </c>
      <c r="P8" s="9">
        <v>2</v>
      </c>
      <c r="Q8" s="239">
        <f t="shared" si="3"/>
        <v>4</v>
      </c>
      <c r="R8" s="20"/>
      <c r="S8" s="133">
        <f t="shared" si="0"/>
        <v>1.133338888888889</v>
      </c>
      <c r="T8" s="130">
        <f t="shared" si="4"/>
        <v>5.125487548674894</v>
      </c>
      <c r="U8" s="131">
        <f t="shared" si="5"/>
        <v>0.2211182600925241</v>
      </c>
      <c r="V8" s="132">
        <f t="shared" si="6"/>
        <v>0.4116592446482691</v>
      </c>
      <c r="W8" s="77" t="str">
        <f t="shared" si="1"/>
        <v>Good</v>
      </c>
      <c r="X8" s="131">
        <f t="shared" si="7"/>
        <v>0.36322696475354743</v>
      </c>
      <c r="Y8" s="79" t="str">
        <f t="shared" si="2"/>
        <v>Good</v>
      </c>
    </row>
    <row r="9" spans="1:25" ht="18" customHeight="1">
      <c r="A9" s="242" t="s">
        <v>295</v>
      </c>
      <c r="B9" s="8"/>
      <c r="C9" s="7"/>
      <c r="D9" s="7"/>
      <c r="E9" s="105"/>
      <c r="F9" s="244"/>
      <c r="G9" s="100"/>
      <c r="H9" s="245"/>
      <c r="I9" s="248"/>
      <c r="J9" s="75"/>
      <c r="K9" s="75"/>
      <c r="L9" s="76"/>
      <c r="M9" s="249">
        <v>0.15</v>
      </c>
      <c r="N9" s="252"/>
      <c r="O9" s="23"/>
      <c r="P9" s="9"/>
      <c r="Q9" s="239">
        <f t="shared" si="3"/>
      </c>
      <c r="R9" s="20"/>
      <c r="S9" s="133">
        <f t="shared" si="0"/>
      </c>
      <c r="T9" s="130">
        <f t="shared" si="4"/>
      </c>
      <c r="U9" s="131">
        <f t="shared" si="5"/>
      </c>
      <c r="V9" s="132">
        <f t="shared" si="6"/>
      </c>
      <c r="W9" s="77">
        <f t="shared" si="1"/>
      </c>
      <c r="X9" s="131">
        <f t="shared" si="7"/>
      </c>
      <c r="Y9" s="79">
        <f t="shared" si="2"/>
      </c>
    </row>
    <row r="10" spans="1:25" ht="18" customHeight="1">
      <c r="A10" s="242" t="s">
        <v>298</v>
      </c>
      <c r="B10" s="8"/>
      <c r="C10" s="7"/>
      <c r="D10" s="7"/>
      <c r="E10" s="105"/>
      <c r="F10" s="244"/>
      <c r="G10" s="100"/>
      <c r="H10" s="245"/>
      <c r="I10" s="248"/>
      <c r="J10" s="75"/>
      <c r="K10" s="75"/>
      <c r="L10" s="76"/>
      <c r="M10" s="249">
        <v>0.15</v>
      </c>
      <c r="N10" s="252"/>
      <c r="O10" s="23"/>
      <c r="P10" s="9"/>
      <c r="Q10" s="239">
        <f t="shared" si="3"/>
      </c>
      <c r="R10" s="20"/>
      <c r="S10" s="133">
        <f>IF(I10="","",(N10/12)^2/2*(J10+K10)+N10/12*I10)</f>
      </c>
      <c r="T10" s="130">
        <f>IF(I10="","",I10+N10/12*((1+J10^2)^0.5+(1+K10^2)^0.5))</f>
      </c>
      <c r="U10" s="131">
        <f>IF(T10="","",S10/T10)</f>
      </c>
      <c r="V10" s="132">
        <f>IF(L10="","",1.49/M10*S10*U10^(2/3)*L10^0.5)</f>
      </c>
      <c r="W10" s="77">
        <f>IF(N10&gt;4,"CHECK DESIGN",IF(V10="","",IF(ABS(V10-H10)&lt;0.05,"Good","CHECK DESIGN")))</f>
      </c>
      <c r="X10" s="131">
        <f>IF(S10="","",V10/S10)</f>
      </c>
      <c r="Y10" s="79">
        <f>IF(O10&gt;1,"CHECK DESIGN",IF(X10="","",IF(ABS(X10-O10)&lt;0.05,"Good","CHECK DESIGN")))</f>
      </c>
    </row>
    <row r="11" spans="1:25" ht="18" customHeight="1">
      <c r="A11" s="242" t="s">
        <v>299</v>
      </c>
      <c r="B11" s="8"/>
      <c r="C11" s="7"/>
      <c r="D11" s="7"/>
      <c r="E11" s="105"/>
      <c r="F11" s="244"/>
      <c r="G11" s="100"/>
      <c r="H11" s="245"/>
      <c r="I11" s="248"/>
      <c r="J11" s="75"/>
      <c r="K11" s="75"/>
      <c r="L11" s="76"/>
      <c r="M11" s="249">
        <v>0.15</v>
      </c>
      <c r="N11" s="252"/>
      <c r="O11" s="23"/>
      <c r="P11" s="9"/>
      <c r="Q11" s="239">
        <f t="shared" si="3"/>
      </c>
      <c r="R11" s="20"/>
      <c r="S11" s="133">
        <f>IF(I11="","",(N11/12)^2/2*(J11+K11)+N11/12*I11)</f>
      </c>
      <c r="T11" s="130">
        <f>IF(I11="","",I11+N11/12*((1+J11^2)^0.5+(1+K11^2)^0.5))</f>
      </c>
      <c r="U11" s="131">
        <f>IF(T11="","",S11/T11)</f>
      </c>
      <c r="V11" s="132">
        <f>IF(L11="","",1.49/M11*S11*U11^(2/3)*L11^0.5)</f>
      </c>
      <c r="W11" s="77">
        <f>IF(N11&gt;4,"CHECK DESIGN",IF(V11="","",IF(ABS(V11-H11)&lt;0.05,"Good","CHECK DESIGN")))</f>
      </c>
      <c r="X11" s="131">
        <f>IF(S11="","",V11/S11)</f>
      </c>
      <c r="Y11" s="79">
        <f>IF(O11&gt;1,"CHECK DESIGN",IF(X11="","",IF(ABS(X11-O11)&lt;0.05,"Good","CHECK DESIGN")))</f>
      </c>
    </row>
    <row r="12" spans="1:25" ht="18" customHeight="1">
      <c r="A12" s="242" t="s">
        <v>300</v>
      </c>
      <c r="B12" s="8"/>
      <c r="C12" s="7"/>
      <c r="D12" s="7"/>
      <c r="E12" s="105"/>
      <c r="F12" s="244"/>
      <c r="G12" s="100"/>
      <c r="H12" s="245"/>
      <c r="I12" s="248"/>
      <c r="J12" s="75"/>
      <c r="K12" s="75"/>
      <c r="L12" s="76"/>
      <c r="M12" s="249">
        <v>0.15</v>
      </c>
      <c r="N12" s="252"/>
      <c r="O12" s="23"/>
      <c r="P12" s="9"/>
      <c r="Q12" s="239">
        <f t="shared" si="3"/>
      </c>
      <c r="R12" s="20"/>
      <c r="S12" s="133">
        <f>IF(I12="","",(N12/12)^2/2*(J12+K12)+N12/12*I12)</f>
      </c>
      <c r="T12" s="130">
        <f>IF(I12="","",I12+N12/12*((1+J12^2)^0.5+(1+K12^2)^0.5))</f>
      </c>
      <c r="U12" s="131">
        <f>IF(T12="","",S12/T12)</f>
      </c>
      <c r="V12" s="132">
        <f>IF(L12="","",1.49/M12*S12*U12^(2/3)*L12^0.5)</f>
      </c>
      <c r="W12" s="77">
        <f>IF(N12&gt;4,"CHECK DESIGN",IF(V12="","",IF(ABS(V12-H12)&lt;0.05,"Good","CHECK DESIGN")))</f>
      </c>
      <c r="X12" s="131">
        <f>IF(S12="","",V12/S12)</f>
      </c>
      <c r="Y12" s="79">
        <f>IF(O12&gt;1,"CHECK DESIGN",IF(X12="","",IF(ABS(X12-O12)&lt;0.05,"Good","CHECK DESIGN")))</f>
      </c>
    </row>
    <row r="13" spans="1:25" ht="18" customHeight="1">
      <c r="A13" s="242" t="s">
        <v>301</v>
      </c>
      <c r="B13" s="8"/>
      <c r="C13" s="7"/>
      <c r="D13" s="7"/>
      <c r="E13" s="105"/>
      <c r="F13" s="244"/>
      <c r="G13" s="100"/>
      <c r="H13" s="245"/>
      <c r="I13" s="248"/>
      <c r="J13" s="75"/>
      <c r="K13" s="75"/>
      <c r="L13" s="76"/>
      <c r="M13" s="249">
        <v>0.15</v>
      </c>
      <c r="N13" s="252"/>
      <c r="O13" s="23"/>
      <c r="P13" s="9"/>
      <c r="Q13" s="239">
        <f t="shared" si="3"/>
      </c>
      <c r="R13" s="20"/>
      <c r="S13" s="133">
        <f t="shared" si="0"/>
      </c>
      <c r="T13" s="130">
        <f t="shared" si="4"/>
      </c>
      <c r="U13" s="131">
        <f t="shared" si="5"/>
      </c>
      <c r="V13" s="132">
        <f t="shared" si="6"/>
      </c>
      <c r="W13" s="77">
        <f t="shared" si="1"/>
      </c>
      <c r="X13" s="131">
        <f t="shared" si="7"/>
      </c>
      <c r="Y13" s="79">
        <f t="shared" si="2"/>
      </c>
    </row>
    <row r="14" spans="1:25" ht="18" customHeight="1" thickBot="1">
      <c r="A14" s="243" t="s">
        <v>302</v>
      </c>
      <c r="B14" s="5"/>
      <c r="C14" s="10"/>
      <c r="D14" s="10"/>
      <c r="E14" s="208"/>
      <c r="F14" s="246"/>
      <c r="G14" s="101"/>
      <c r="H14" s="247"/>
      <c r="I14" s="250"/>
      <c r="J14" s="237"/>
      <c r="K14" s="237"/>
      <c r="L14" s="236"/>
      <c r="M14" s="251">
        <v>0.15</v>
      </c>
      <c r="N14" s="253"/>
      <c r="O14" s="238"/>
      <c r="P14" s="11"/>
      <c r="Q14" s="240">
        <f t="shared" si="3"/>
      </c>
      <c r="R14" s="20"/>
      <c r="S14" s="134">
        <f t="shared" si="0"/>
      </c>
      <c r="T14" s="135">
        <f t="shared" si="4"/>
      </c>
      <c r="U14" s="136">
        <f t="shared" si="5"/>
      </c>
      <c r="V14" s="137">
        <f t="shared" si="6"/>
      </c>
      <c r="W14" s="78">
        <f t="shared" si="1"/>
      </c>
      <c r="X14" s="136">
        <f t="shared" si="7"/>
      </c>
      <c r="Y14" s="80">
        <f t="shared" si="2"/>
      </c>
    </row>
    <row r="15" spans="2:23" ht="12.75">
      <c r="B15" s="109"/>
      <c r="C15" s="109"/>
      <c r="D15" s="109"/>
      <c r="E15" s="109"/>
      <c r="G15" s="109"/>
      <c r="H15" s="109"/>
      <c r="I15" s="109"/>
      <c r="L15" s="6"/>
      <c r="M15" s="6"/>
      <c r="N15" s="6"/>
      <c r="O15" s="6"/>
      <c r="P15" s="6"/>
      <c r="Q15" s="6"/>
      <c r="R15" s="6"/>
      <c r="S15" s="6"/>
      <c r="U15" s="6"/>
      <c r="W15" s="6"/>
    </row>
    <row r="16" spans="6:8" ht="12.75">
      <c r="F16" s="108" t="s">
        <v>317</v>
      </c>
      <c r="G16" s="153">
        <f>SUM(G5:G14)</f>
        <v>3.54</v>
      </c>
      <c r="H16" s="102" t="s">
        <v>99</v>
      </c>
    </row>
    <row r="17" spans="1:14" ht="12.75">
      <c r="A17" s="24"/>
      <c r="F17" s="96" t="s">
        <v>98</v>
      </c>
      <c r="N17" s="86"/>
    </row>
    <row r="18" ht="12.75">
      <c r="I18" s="96"/>
    </row>
    <row r="19" spans="1:5" ht="12.75">
      <c r="A19" s="369" t="s">
        <v>22</v>
      </c>
      <c r="B19" s="369"/>
      <c r="C19" s="369"/>
      <c r="D19" s="369"/>
      <c r="E19" s="369"/>
    </row>
    <row r="21" spans="1:12" ht="12.75">
      <c r="A21" s="71" t="s">
        <v>75</v>
      </c>
      <c r="B21" s="72"/>
      <c r="C21" s="72"/>
      <c r="D21" s="72"/>
      <c r="E21" s="72"/>
      <c r="F21" s="72"/>
      <c r="G21" s="72"/>
      <c r="H21" s="72"/>
      <c r="I21" s="73"/>
      <c r="J21" s="72"/>
      <c r="K21" s="72"/>
      <c r="L21" s="72"/>
    </row>
    <row r="22" spans="1:21" ht="12.75">
      <c r="A22" s="74">
        <v>1</v>
      </c>
      <c r="B22" s="380" t="s">
        <v>212</v>
      </c>
      <c r="C22" s="381"/>
      <c r="D22" s="381"/>
      <c r="E22" s="381"/>
      <c r="F22" s="381"/>
      <c r="G22" s="381"/>
      <c r="H22" s="381"/>
      <c r="I22" s="381"/>
      <c r="J22" s="381"/>
      <c r="K22" s="381"/>
      <c r="L22" s="382"/>
      <c r="M22" s="127" t="s">
        <v>8</v>
      </c>
      <c r="N22" s="81" t="str">
        <f>IF(M22="Yes","Good","CHECK DESIGN")</f>
        <v>Good</v>
      </c>
      <c r="T22" s="20"/>
      <c r="U22" s="20"/>
    </row>
    <row r="23" spans="1:21" ht="12.75">
      <c r="A23" s="74">
        <v>2</v>
      </c>
      <c r="B23" s="380" t="s">
        <v>76</v>
      </c>
      <c r="C23" s="381"/>
      <c r="D23" s="381"/>
      <c r="E23" s="381"/>
      <c r="F23" s="381"/>
      <c r="G23" s="381"/>
      <c r="H23" s="381"/>
      <c r="I23" s="381"/>
      <c r="J23" s="381"/>
      <c r="K23" s="381"/>
      <c r="L23" s="382"/>
      <c r="M23" s="127" t="s">
        <v>8</v>
      </c>
      <c r="N23" s="81" t="str">
        <f aca="true" t="shared" si="8" ref="N23:N30">IF(M23="Yes","Good","CHECK DESIGN")</f>
        <v>Good</v>
      </c>
      <c r="T23" s="20"/>
      <c r="U23" s="20"/>
    </row>
    <row r="24" spans="1:21" ht="12.75">
      <c r="A24" s="74">
        <v>3</v>
      </c>
      <c r="B24" s="380" t="s">
        <v>77</v>
      </c>
      <c r="C24" s="381"/>
      <c r="D24" s="381"/>
      <c r="E24" s="381"/>
      <c r="F24" s="381"/>
      <c r="G24" s="381"/>
      <c r="H24" s="381"/>
      <c r="I24" s="381"/>
      <c r="J24" s="381"/>
      <c r="K24" s="381"/>
      <c r="L24" s="382"/>
      <c r="M24" s="127" t="s">
        <v>8</v>
      </c>
      <c r="N24" s="81" t="str">
        <f t="shared" si="8"/>
        <v>Good</v>
      </c>
      <c r="T24" s="20"/>
      <c r="U24" s="20"/>
    </row>
    <row r="25" spans="1:21" ht="15.75">
      <c r="A25" s="74">
        <v>4</v>
      </c>
      <c r="B25" s="380" t="s">
        <v>86</v>
      </c>
      <c r="C25" s="381"/>
      <c r="D25" s="381"/>
      <c r="E25" s="381"/>
      <c r="F25" s="381"/>
      <c r="G25" s="381"/>
      <c r="H25" s="381"/>
      <c r="I25" s="381"/>
      <c r="J25" s="381"/>
      <c r="K25" s="381"/>
      <c r="L25" s="382"/>
      <c r="M25" s="127" t="s">
        <v>8</v>
      </c>
      <c r="N25" s="81" t="str">
        <f t="shared" si="8"/>
        <v>Good</v>
      </c>
      <c r="T25" s="20"/>
      <c r="U25" s="20"/>
    </row>
    <row r="26" spans="1:21" ht="15.75">
      <c r="A26" s="74">
        <v>5</v>
      </c>
      <c r="B26" s="380" t="s">
        <v>87</v>
      </c>
      <c r="C26" s="381"/>
      <c r="D26" s="381"/>
      <c r="E26" s="381"/>
      <c r="F26" s="381"/>
      <c r="G26" s="381"/>
      <c r="H26" s="381"/>
      <c r="I26" s="381"/>
      <c r="J26" s="381"/>
      <c r="K26" s="381"/>
      <c r="L26" s="382"/>
      <c r="M26" s="127" t="s">
        <v>8</v>
      </c>
      <c r="N26" s="81" t="str">
        <f t="shared" si="8"/>
        <v>Good</v>
      </c>
      <c r="T26" s="20"/>
      <c r="U26" s="20"/>
    </row>
    <row r="27" spans="1:21" ht="12.75">
      <c r="A27" s="74">
        <v>6</v>
      </c>
      <c r="B27" s="380" t="s">
        <v>345</v>
      </c>
      <c r="C27" s="381"/>
      <c r="D27" s="381"/>
      <c r="E27" s="381"/>
      <c r="F27" s="381"/>
      <c r="G27" s="381"/>
      <c r="H27" s="381"/>
      <c r="I27" s="381"/>
      <c r="J27" s="381"/>
      <c r="K27" s="381"/>
      <c r="L27" s="382"/>
      <c r="M27" s="127" t="s">
        <v>8</v>
      </c>
      <c r="N27" s="81" t="str">
        <f t="shared" si="8"/>
        <v>Good</v>
      </c>
      <c r="T27" s="20"/>
      <c r="U27" s="20"/>
    </row>
    <row r="28" spans="1:21" ht="12.75">
      <c r="A28" s="74">
        <v>7</v>
      </c>
      <c r="B28" s="380" t="s">
        <v>286</v>
      </c>
      <c r="C28" s="381"/>
      <c r="D28" s="381"/>
      <c r="E28" s="381"/>
      <c r="F28" s="381"/>
      <c r="G28" s="381"/>
      <c r="H28" s="381"/>
      <c r="I28" s="381"/>
      <c r="J28" s="381"/>
      <c r="K28" s="381"/>
      <c r="L28" s="382"/>
      <c r="M28" s="127" t="s">
        <v>8</v>
      </c>
      <c r="N28" s="81" t="str">
        <f t="shared" si="8"/>
        <v>Good</v>
      </c>
      <c r="T28" s="20"/>
      <c r="U28" s="20"/>
    </row>
    <row r="29" spans="1:21" ht="12.75">
      <c r="A29" s="74">
        <v>8</v>
      </c>
      <c r="B29" s="386" t="s">
        <v>78</v>
      </c>
      <c r="C29" s="387"/>
      <c r="D29" s="387"/>
      <c r="E29" s="387"/>
      <c r="F29" s="387"/>
      <c r="G29" s="387"/>
      <c r="H29" s="387"/>
      <c r="I29" s="387"/>
      <c r="J29" s="387"/>
      <c r="K29" s="387"/>
      <c r="L29" s="388"/>
      <c r="M29" s="127" t="s">
        <v>8</v>
      </c>
      <c r="N29" s="81" t="str">
        <f t="shared" si="8"/>
        <v>Good</v>
      </c>
      <c r="T29" s="20"/>
      <c r="U29" s="20"/>
    </row>
    <row r="30" spans="1:21" ht="12.75">
      <c r="A30" s="74">
        <v>9</v>
      </c>
      <c r="B30" s="380" t="s">
        <v>79</v>
      </c>
      <c r="C30" s="381"/>
      <c r="D30" s="381"/>
      <c r="E30" s="381"/>
      <c r="F30" s="381"/>
      <c r="G30" s="381"/>
      <c r="H30" s="381"/>
      <c r="I30" s="381"/>
      <c r="J30" s="381"/>
      <c r="K30" s="381"/>
      <c r="L30" s="382"/>
      <c r="M30" s="127" t="s">
        <v>8</v>
      </c>
      <c r="N30" s="81" t="str">
        <f t="shared" si="8"/>
        <v>Good</v>
      </c>
      <c r="T30" s="20"/>
      <c r="U30" s="20"/>
    </row>
    <row r="35" ht="12.75">
      <c r="A35" s="82" t="s">
        <v>23</v>
      </c>
    </row>
    <row r="36" spans="1:2" ht="12.75">
      <c r="A36" s="20">
        <v>1</v>
      </c>
      <c r="B36" s="20" t="s">
        <v>308</v>
      </c>
    </row>
    <row r="37" spans="1:2" ht="12.75">
      <c r="A37" s="20">
        <v>2</v>
      </c>
      <c r="B37" s="20" t="s">
        <v>83</v>
      </c>
    </row>
    <row r="38" spans="1:2" ht="12.75">
      <c r="A38" s="20">
        <v>3</v>
      </c>
      <c r="B38" s="20" t="s">
        <v>89</v>
      </c>
    </row>
    <row r="39" spans="1:2" ht="12.75">
      <c r="A39" s="20">
        <v>4</v>
      </c>
      <c r="B39" s="20" t="s">
        <v>146</v>
      </c>
    </row>
    <row r="40" spans="1:2" ht="12.75">
      <c r="A40" s="20">
        <v>5</v>
      </c>
      <c r="B40" s="20" t="s">
        <v>82</v>
      </c>
    </row>
    <row r="42" ht="13.5" thickBot="1"/>
    <row r="43" spans="1:27" ht="15.75" thickTop="1">
      <c r="A43" s="57" t="s">
        <v>34</v>
      </c>
      <c r="B43" s="308"/>
      <c r="C43" s="308"/>
      <c r="D43" s="308"/>
      <c r="E43" s="308"/>
      <c r="F43" s="308"/>
      <c r="G43" s="308"/>
      <c r="H43" s="308"/>
      <c r="I43" s="309"/>
      <c r="J43" s="308"/>
      <c r="K43" s="58" t="s">
        <v>35</v>
      </c>
      <c r="L43" s="308"/>
      <c r="M43" s="308"/>
      <c r="N43" s="308"/>
      <c r="O43" s="308"/>
      <c r="P43" s="308"/>
      <c r="Q43" s="308"/>
      <c r="R43" s="308"/>
      <c r="S43" s="308"/>
      <c r="T43" s="308"/>
      <c r="U43" s="308"/>
      <c r="V43" s="308"/>
      <c r="W43" s="308"/>
      <c r="X43" s="308"/>
      <c r="Y43" s="308"/>
      <c r="Z43" s="310"/>
      <c r="AA43" s="311"/>
    </row>
    <row r="44" spans="1:27" ht="12.75">
      <c r="A44" s="59" t="s">
        <v>36</v>
      </c>
      <c r="B44" s="41"/>
      <c r="C44" s="41"/>
      <c r="D44" s="41"/>
      <c r="E44" s="41"/>
      <c r="F44" s="40"/>
      <c r="G44" s="40"/>
      <c r="H44" s="40"/>
      <c r="J44" s="41"/>
      <c r="K44" s="41" t="s">
        <v>37</v>
      </c>
      <c r="L44" s="41"/>
      <c r="M44" s="41"/>
      <c r="N44" s="41"/>
      <c r="O44" s="41"/>
      <c r="P44" s="41"/>
      <c r="Q44" s="41"/>
      <c r="R44" s="41"/>
      <c r="S44" s="41"/>
      <c r="T44" s="41"/>
      <c r="U44" s="41"/>
      <c r="V44" s="41"/>
      <c r="W44" s="41"/>
      <c r="X44" s="40"/>
      <c r="Y44" s="41"/>
      <c r="Z44" s="174"/>
      <c r="AA44" s="312"/>
    </row>
    <row r="45" spans="1:27" ht="12.75">
      <c r="A45" s="61"/>
      <c r="B45" s="62"/>
      <c r="C45" s="62"/>
      <c r="D45" s="41"/>
      <c r="E45" s="41"/>
      <c r="F45" s="25"/>
      <c r="G45" s="25"/>
      <c r="H45" s="25"/>
      <c r="J45" s="41"/>
      <c r="K45" s="41"/>
      <c r="L45" s="41"/>
      <c r="M45" s="41"/>
      <c r="N45" s="41"/>
      <c r="O45" s="41"/>
      <c r="P45" s="41"/>
      <c r="Q45" s="41"/>
      <c r="R45" s="41"/>
      <c r="S45" s="41"/>
      <c r="T45" s="41"/>
      <c r="U45" s="41"/>
      <c r="V45" s="41"/>
      <c r="W45" s="41"/>
      <c r="X45" s="40"/>
      <c r="Y45" s="41"/>
      <c r="Z45" s="174"/>
      <c r="AA45" s="312"/>
    </row>
    <row r="46" spans="1:27" ht="15">
      <c r="A46" s="61" t="s">
        <v>38</v>
      </c>
      <c r="B46" s="63">
        <v>0.412</v>
      </c>
      <c r="C46" s="62" t="s">
        <v>39</v>
      </c>
      <c r="D46" s="313"/>
      <c r="E46" s="314" t="s">
        <v>84</v>
      </c>
      <c r="F46" s="25"/>
      <c r="G46" s="25"/>
      <c r="H46" s="25"/>
      <c r="J46" s="313"/>
      <c r="K46" s="62" t="s">
        <v>40</v>
      </c>
      <c r="L46" s="313"/>
      <c r="M46" s="313"/>
      <c r="N46" s="313"/>
      <c r="O46" s="313"/>
      <c r="P46" s="313"/>
      <c r="Q46" s="313"/>
      <c r="R46" s="313"/>
      <c r="S46" s="313"/>
      <c r="T46" s="313"/>
      <c r="U46" s="25"/>
      <c r="V46" s="313"/>
      <c r="W46" s="313"/>
      <c r="X46" s="313"/>
      <c r="Y46" s="313"/>
      <c r="Z46" s="174"/>
      <c r="AA46" s="312"/>
    </row>
    <row r="47" spans="1:27" ht="15" thickBot="1">
      <c r="A47" s="61" t="s">
        <v>41</v>
      </c>
      <c r="B47" s="63">
        <v>0.01</v>
      </c>
      <c r="C47" s="62" t="s">
        <v>42</v>
      </c>
      <c r="D47" s="313"/>
      <c r="E47" s="313"/>
      <c r="F47" s="25"/>
      <c r="G47" s="25"/>
      <c r="H47" s="25"/>
      <c r="J47" s="313"/>
      <c r="K47" s="41" t="s">
        <v>43</v>
      </c>
      <c r="L47" s="313"/>
      <c r="M47" s="313"/>
      <c r="N47" s="313"/>
      <c r="O47" s="313"/>
      <c r="P47" s="313"/>
      <c r="Q47" s="313"/>
      <c r="R47" s="313"/>
      <c r="S47" s="313"/>
      <c r="T47" s="313"/>
      <c r="U47" s="25"/>
      <c r="V47" s="313"/>
      <c r="W47" s="313"/>
      <c r="X47" s="313"/>
      <c r="Y47" s="313"/>
      <c r="Z47" s="174"/>
      <c r="AA47" s="312"/>
    </row>
    <row r="48" spans="1:27" ht="14.25">
      <c r="A48" s="61" t="s">
        <v>44</v>
      </c>
      <c r="B48" s="64">
        <v>0.15</v>
      </c>
      <c r="C48" s="62" t="s">
        <v>45</v>
      </c>
      <c r="D48" s="313"/>
      <c r="E48" s="313"/>
      <c r="F48" s="25"/>
      <c r="G48" s="25"/>
      <c r="H48" s="51" t="s">
        <v>46</v>
      </c>
      <c r="I48" s="315"/>
      <c r="J48" s="315"/>
      <c r="K48" s="315"/>
      <c r="L48" s="316"/>
      <c r="M48" s="51" t="s">
        <v>46</v>
      </c>
      <c r="N48" s="315"/>
      <c r="O48" s="315"/>
      <c r="P48" s="315"/>
      <c r="Q48" s="316"/>
      <c r="R48" s="55" t="s">
        <v>47</v>
      </c>
      <c r="S48" s="315"/>
      <c r="T48" s="315"/>
      <c r="U48" s="56"/>
      <c r="V48" s="316"/>
      <c r="W48" s="313"/>
      <c r="X48" s="313"/>
      <c r="Y48" s="313"/>
      <c r="Z48" s="174"/>
      <c r="AA48" s="312"/>
    </row>
    <row r="49" spans="1:27" ht="14.25">
      <c r="A49" s="61" t="s">
        <v>48</v>
      </c>
      <c r="B49" s="64">
        <v>4</v>
      </c>
      <c r="C49" s="62" t="s">
        <v>49</v>
      </c>
      <c r="D49" s="313"/>
      <c r="E49" s="313"/>
      <c r="F49" s="25"/>
      <c r="G49" s="25"/>
      <c r="H49" s="52" t="s">
        <v>50</v>
      </c>
      <c r="I49" s="313"/>
      <c r="J49" s="313"/>
      <c r="K49" s="313"/>
      <c r="L49" s="317"/>
      <c r="M49" s="52" t="s">
        <v>51</v>
      </c>
      <c r="N49" s="313"/>
      <c r="O49" s="313"/>
      <c r="P49" s="313"/>
      <c r="Q49" s="317"/>
      <c r="R49" s="52" t="s">
        <v>52</v>
      </c>
      <c r="S49" s="313"/>
      <c r="T49" s="313"/>
      <c r="U49" s="25"/>
      <c r="V49" s="317"/>
      <c r="W49" s="313"/>
      <c r="X49" s="313"/>
      <c r="Y49" s="313"/>
      <c r="Z49" s="174"/>
      <c r="AA49" s="312"/>
    </row>
    <row r="50" spans="1:27" ht="14.25">
      <c r="A50" s="61" t="s">
        <v>53</v>
      </c>
      <c r="B50" s="64">
        <v>2</v>
      </c>
      <c r="C50" s="62" t="s">
        <v>54</v>
      </c>
      <c r="D50" s="313"/>
      <c r="E50" s="313"/>
      <c r="F50" s="313"/>
      <c r="G50" s="313"/>
      <c r="H50" s="32" t="s">
        <v>55</v>
      </c>
      <c r="I50" s="33" t="s">
        <v>56</v>
      </c>
      <c r="J50" s="25" t="s">
        <v>57</v>
      </c>
      <c r="K50" s="25" t="s">
        <v>58</v>
      </c>
      <c r="L50" s="29" t="s">
        <v>59</v>
      </c>
      <c r="M50" s="32" t="s">
        <v>55</v>
      </c>
      <c r="N50" s="33" t="s">
        <v>56</v>
      </c>
      <c r="O50" s="25" t="s">
        <v>57</v>
      </c>
      <c r="P50" s="25" t="s">
        <v>58</v>
      </c>
      <c r="Q50" s="29" t="s">
        <v>59</v>
      </c>
      <c r="R50" s="32" t="s">
        <v>55</v>
      </c>
      <c r="S50" s="33" t="s">
        <v>56</v>
      </c>
      <c r="T50" s="25" t="s">
        <v>57</v>
      </c>
      <c r="U50" s="25" t="s">
        <v>58</v>
      </c>
      <c r="V50" s="29" t="s">
        <v>59</v>
      </c>
      <c r="W50" s="313"/>
      <c r="X50" s="313"/>
      <c r="Y50" s="313"/>
      <c r="Z50" s="174"/>
      <c r="AA50" s="312"/>
    </row>
    <row r="51" spans="1:27" ht="15" thickBot="1">
      <c r="A51" s="61" t="s">
        <v>60</v>
      </c>
      <c r="B51" s="64">
        <v>2</v>
      </c>
      <c r="C51" s="62" t="s">
        <v>61</v>
      </c>
      <c r="D51" s="313"/>
      <c r="E51" s="313"/>
      <c r="F51" s="313"/>
      <c r="G51" s="313"/>
      <c r="H51" s="53" t="s">
        <v>62</v>
      </c>
      <c r="I51" s="54" t="s">
        <v>62</v>
      </c>
      <c r="J51" s="30" t="s">
        <v>63</v>
      </c>
      <c r="K51" s="30" t="s">
        <v>62</v>
      </c>
      <c r="L51" s="31" t="s">
        <v>62</v>
      </c>
      <c r="M51" s="53" t="s">
        <v>62</v>
      </c>
      <c r="N51" s="54" t="s">
        <v>62</v>
      </c>
      <c r="O51" s="30" t="s">
        <v>63</v>
      </c>
      <c r="P51" s="30" t="s">
        <v>62</v>
      </c>
      <c r="Q51" s="31" t="s">
        <v>62</v>
      </c>
      <c r="R51" s="53" t="s">
        <v>62</v>
      </c>
      <c r="S51" s="54" t="s">
        <v>62</v>
      </c>
      <c r="T51" s="30" t="s">
        <v>63</v>
      </c>
      <c r="U51" s="30" t="s">
        <v>62</v>
      </c>
      <c r="V51" s="31" t="s">
        <v>62</v>
      </c>
      <c r="W51" s="313"/>
      <c r="X51" s="313"/>
      <c r="Y51" s="313"/>
      <c r="Z51" s="174"/>
      <c r="AA51" s="312"/>
    </row>
    <row r="52" spans="1:27" ht="12.75">
      <c r="A52" s="59"/>
      <c r="B52" s="26" t="s">
        <v>64</v>
      </c>
      <c r="C52" s="27" t="s">
        <v>65</v>
      </c>
      <c r="D52" s="27" t="s">
        <v>44</v>
      </c>
      <c r="E52" s="27" t="s">
        <v>66</v>
      </c>
      <c r="F52" s="27" t="s">
        <v>53</v>
      </c>
      <c r="G52" s="28" t="s">
        <v>60</v>
      </c>
      <c r="H52" s="26" t="s">
        <v>67</v>
      </c>
      <c r="I52" s="44" t="s">
        <v>68</v>
      </c>
      <c r="J52" s="27" t="s">
        <v>57</v>
      </c>
      <c r="K52" s="27" t="s">
        <v>58</v>
      </c>
      <c r="L52" s="28" t="s">
        <v>59</v>
      </c>
      <c r="M52" s="26" t="s">
        <v>69</v>
      </c>
      <c r="N52" s="44" t="s">
        <v>346</v>
      </c>
      <c r="O52" s="27" t="s">
        <v>57</v>
      </c>
      <c r="P52" s="27" t="s">
        <v>58</v>
      </c>
      <c r="Q52" s="28" t="s">
        <v>59</v>
      </c>
      <c r="R52" s="26" t="s">
        <v>70</v>
      </c>
      <c r="S52" s="44" t="s">
        <v>71</v>
      </c>
      <c r="T52" s="27" t="s">
        <v>57</v>
      </c>
      <c r="U52" s="27" t="s">
        <v>58</v>
      </c>
      <c r="V52" s="28" t="s">
        <v>59</v>
      </c>
      <c r="W52" s="41"/>
      <c r="X52" s="40"/>
      <c r="Y52" s="40"/>
      <c r="Z52" s="174"/>
      <c r="AA52" s="312"/>
    </row>
    <row r="53" spans="1:27" ht="14.25">
      <c r="A53" s="65">
        <v>1</v>
      </c>
      <c r="B53" s="45">
        <f>B46</f>
        <v>0.412</v>
      </c>
      <c r="C53" s="46">
        <f>B47</f>
        <v>0.01</v>
      </c>
      <c r="D53" s="46">
        <f>B48</f>
        <v>0.15</v>
      </c>
      <c r="E53" s="46">
        <f>B49</f>
        <v>4</v>
      </c>
      <c r="F53" s="46">
        <f>B50</f>
        <v>2</v>
      </c>
      <c r="G53" s="47">
        <f>B51</f>
        <v>2</v>
      </c>
      <c r="H53" s="48">
        <v>0.0001</v>
      </c>
      <c r="I53" s="49">
        <f>($B53*$D53)/(1.49*($C53^(0.5)))-(J53*L53^(2/3))</f>
        <v>0.41476423888968145</v>
      </c>
      <c r="J53" s="49">
        <f>H53^2/2*(F53+G53)+H53*E53</f>
        <v>0.00040002</v>
      </c>
      <c r="K53" s="49">
        <f>$E53+H53*((1+$F53^2)^0.5+(1+G53^2)^0.5)</f>
        <v>4.0004472135955</v>
      </c>
      <c r="L53" s="50">
        <f>J53/K53</f>
        <v>9.999382035101827E-05</v>
      </c>
      <c r="M53" s="48">
        <v>10</v>
      </c>
      <c r="N53" s="49">
        <f>($B53*$D53)/(1.49*($C53^(0.5)))-(O53*Q53^(2/3))</f>
        <v>-694.4054901962501</v>
      </c>
      <c r="O53" s="49">
        <f>M53^2/2*(F53+G53)+M53*E53</f>
        <v>240</v>
      </c>
      <c r="P53" s="49">
        <f>$E53+M53*((1+$F53^2)^0.5+(1+G53^2)^0.5)</f>
        <v>48.721359549995796</v>
      </c>
      <c r="Q53" s="50">
        <f>O53/P53</f>
        <v>4.925970913305942</v>
      </c>
      <c r="R53" s="48">
        <f>(H53+M53)/2</f>
        <v>5.00005</v>
      </c>
      <c r="S53" s="49">
        <f>($B53*$D53)/(1.49*($C53^(0.5)))-(T53*V53^(2/3))</f>
        <v>-133.82121832133328</v>
      </c>
      <c r="T53" s="49">
        <f>R53^2/2*(F53+G53)+R53*E53</f>
        <v>70.00120000499999</v>
      </c>
      <c r="U53" s="49">
        <f>$E53+R53*((1+$F53^2)^0.5+(1+G53^2)^0.5)</f>
        <v>26.360903381795648</v>
      </c>
      <c r="V53" s="50">
        <f>T53/U53</f>
        <v>2.6554932124724346</v>
      </c>
      <c r="W53" s="313"/>
      <c r="X53" s="313"/>
      <c r="Y53" s="313"/>
      <c r="Z53" s="174"/>
      <c r="AA53" s="312"/>
    </row>
    <row r="54" spans="1:27" ht="14.25">
      <c r="A54" s="65">
        <v>2</v>
      </c>
      <c r="B54" s="45">
        <f aca="true" t="shared" si="9" ref="B54:G69">B53</f>
        <v>0.412</v>
      </c>
      <c r="C54" s="46">
        <f t="shared" si="9"/>
        <v>0.01</v>
      </c>
      <c r="D54" s="46">
        <f t="shared" si="9"/>
        <v>0.15</v>
      </c>
      <c r="E54" s="46">
        <f t="shared" si="9"/>
        <v>4</v>
      </c>
      <c r="F54" s="46">
        <f t="shared" si="9"/>
        <v>2</v>
      </c>
      <c r="G54" s="47">
        <f t="shared" si="9"/>
        <v>2</v>
      </c>
      <c r="H54" s="48">
        <f>IF(I53*S53&gt;0,R53,H53)</f>
        <v>0.0001</v>
      </c>
      <c r="I54" s="49">
        <f aca="true" t="shared" si="10" ref="I54:I82">($B54*$D54)/(1.49*($C54^(0.5)))-(J54*L54^(2/3))</f>
        <v>0.41476423888968145</v>
      </c>
      <c r="J54" s="49">
        <f aca="true" t="shared" si="11" ref="J54:J82">H54^2/2*(F54+G54)+H54*E54</f>
        <v>0.00040002</v>
      </c>
      <c r="K54" s="49">
        <f aca="true" t="shared" si="12" ref="K54:K82">$E54+H54*((1+$F54^2)^0.5+(1+G54^2)^0.5)</f>
        <v>4.0004472135955</v>
      </c>
      <c r="L54" s="50">
        <f aca="true" t="shared" si="13" ref="L54:L82">J54/K54</f>
        <v>9.999382035101827E-05</v>
      </c>
      <c r="M54" s="48">
        <f>IF(I53*S53&gt;0,M53,R53)</f>
        <v>5.00005</v>
      </c>
      <c r="N54" s="49">
        <f aca="true" t="shared" si="14" ref="N54:N82">($B54*$D54)/(1.49*($C54^(0.5)))-(O54*Q54^(2/3))</f>
        <v>-133.82121832133328</v>
      </c>
      <c r="O54" s="49">
        <f aca="true" t="shared" si="15" ref="O54:O82">M54^2/2*(F54+G54)+M54*E54</f>
        <v>70.00120000499999</v>
      </c>
      <c r="P54" s="49">
        <f aca="true" t="shared" si="16" ref="P54:P82">$E54+M54*((1+$F54^2)^0.5+(1+G54^2)^0.5)</f>
        <v>26.360903381795648</v>
      </c>
      <c r="Q54" s="50">
        <f aca="true" t="shared" si="17" ref="Q54:Q82">O54/P54</f>
        <v>2.6554932124724346</v>
      </c>
      <c r="R54" s="48">
        <f aca="true" t="shared" si="18" ref="R54:R82">(H54+M54)/2</f>
        <v>2.500075</v>
      </c>
      <c r="S54" s="49">
        <f aca="true" t="shared" si="19" ref="S54:S82">($B54*$D54)/(1.49*($C54^(0.5)))-(T54*V54^(2/3))</f>
        <v>-28.836450178446608</v>
      </c>
      <c r="T54" s="49">
        <f aca="true" t="shared" si="20" ref="T54:T82">R54^2/2*(F54+G54)+R54*E54</f>
        <v>22.501050011249998</v>
      </c>
      <c r="U54" s="49">
        <f aca="true" t="shared" si="21" ref="U54:U82">$E54+R54*((1+$F54^2)^0.5+(1+G54^2)^0.5)</f>
        <v>15.180675297695574</v>
      </c>
      <c r="V54" s="50">
        <f aca="true" t="shared" si="22" ref="V54:V82">T54/U54</f>
        <v>1.4822166715248601</v>
      </c>
      <c r="W54" s="313"/>
      <c r="X54" s="313"/>
      <c r="Y54" s="313"/>
      <c r="Z54" s="174"/>
      <c r="AA54" s="312"/>
    </row>
    <row r="55" spans="1:27" ht="14.25">
      <c r="A55" s="65">
        <v>3</v>
      </c>
      <c r="B55" s="45">
        <f t="shared" si="9"/>
        <v>0.412</v>
      </c>
      <c r="C55" s="46">
        <f t="shared" si="9"/>
        <v>0.01</v>
      </c>
      <c r="D55" s="46">
        <f t="shared" si="9"/>
        <v>0.15</v>
      </c>
      <c r="E55" s="46">
        <f t="shared" si="9"/>
        <v>4</v>
      </c>
      <c r="F55" s="46">
        <f t="shared" si="9"/>
        <v>2</v>
      </c>
      <c r="G55" s="47">
        <f t="shared" si="9"/>
        <v>2</v>
      </c>
      <c r="H55" s="48">
        <f aca="true" t="shared" si="23" ref="H55:H82">IF(I54*S54&gt;0,R54,H54)</f>
        <v>0.0001</v>
      </c>
      <c r="I55" s="49">
        <f t="shared" si="10"/>
        <v>0.41476423888968145</v>
      </c>
      <c r="J55" s="49">
        <f t="shared" si="11"/>
        <v>0.00040002</v>
      </c>
      <c r="K55" s="49">
        <f t="shared" si="12"/>
        <v>4.0004472135955</v>
      </c>
      <c r="L55" s="50">
        <f t="shared" si="13"/>
        <v>9.999382035101827E-05</v>
      </c>
      <c r="M55" s="48">
        <f aca="true" t="shared" si="24" ref="M55:M82">IF(I54*S54&gt;0,M54,R54)</f>
        <v>2.500075</v>
      </c>
      <c r="N55" s="49">
        <f t="shared" si="14"/>
        <v>-28.836450178446608</v>
      </c>
      <c r="O55" s="49">
        <f t="shared" si="15"/>
        <v>22.501050011249998</v>
      </c>
      <c r="P55" s="49">
        <f t="shared" si="16"/>
        <v>15.180675297695574</v>
      </c>
      <c r="Q55" s="50">
        <f t="shared" si="17"/>
        <v>1.4822166715248601</v>
      </c>
      <c r="R55" s="48">
        <f t="shared" si="18"/>
        <v>1.2500875</v>
      </c>
      <c r="S55" s="49">
        <f t="shared" si="19"/>
        <v>-6.861018164782886</v>
      </c>
      <c r="T55" s="49">
        <f t="shared" si="20"/>
        <v>8.1257875153125</v>
      </c>
      <c r="U55" s="49">
        <f t="shared" si="21"/>
        <v>9.590561255645536</v>
      </c>
      <c r="V55" s="50">
        <f t="shared" si="22"/>
        <v>0.8472692367747727</v>
      </c>
      <c r="W55" s="313"/>
      <c r="X55" s="313"/>
      <c r="Y55" s="313"/>
      <c r="Z55" s="174"/>
      <c r="AA55" s="312"/>
    </row>
    <row r="56" spans="1:27" ht="14.25">
      <c r="A56" s="65">
        <v>4</v>
      </c>
      <c r="B56" s="45">
        <f t="shared" si="9"/>
        <v>0.412</v>
      </c>
      <c r="C56" s="46">
        <f t="shared" si="9"/>
        <v>0.01</v>
      </c>
      <c r="D56" s="46">
        <f t="shared" si="9"/>
        <v>0.15</v>
      </c>
      <c r="E56" s="46">
        <f t="shared" si="9"/>
        <v>4</v>
      </c>
      <c r="F56" s="46">
        <f t="shared" si="9"/>
        <v>2</v>
      </c>
      <c r="G56" s="47">
        <f t="shared" si="9"/>
        <v>2</v>
      </c>
      <c r="H56" s="48">
        <f t="shared" si="23"/>
        <v>0.0001</v>
      </c>
      <c r="I56" s="49">
        <f t="shared" si="10"/>
        <v>0.41476423888968145</v>
      </c>
      <c r="J56" s="49">
        <f t="shared" si="11"/>
        <v>0.00040002</v>
      </c>
      <c r="K56" s="49">
        <f t="shared" si="12"/>
        <v>4.0004472135955</v>
      </c>
      <c r="L56" s="50">
        <f t="shared" si="13"/>
        <v>9.999382035101827E-05</v>
      </c>
      <c r="M56" s="48">
        <f t="shared" si="24"/>
        <v>1.2500875</v>
      </c>
      <c r="N56" s="49">
        <f t="shared" si="14"/>
        <v>-6.861018164782886</v>
      </c>
      <c r="O56" s="49">
        <f t="shared" si="15"/>
        <v>8.1257875153125</v>
      </c>
      <c r="P56" s="49">
        <f t="shared" si="16"/>
        <v>9.590561255645536</v>
      </c>
      <c r="Q56" s="50">
        <f t="shared" si="17"/>
        <v>0.8472692367747727</v>
      </c>
      <c r="R56" s="48">
        <f t="shared" si="18"/>
        <v>0.62509375</v>
      </c>
      <c r="S56" s="49">
        <f t="shared" si="19"/>
        <v>-1.6053936179186041</v>
      </c>
      <c r="T56" s="49">
        <f t="shared" si="20"/>
        <v>3.281859392578125</v>
      </c>
      <c r="U56" s="49">
        <f t="shared" si="21"/>
        <v>6.795504234620518</v>
      </c>
      <c r="V56" s="50">
        <f t="shared" si="22"/>
        <v>0.48294567691655543</v>
      </c>
      <c r="W56" s="313"/>
      <c r="X56" s="313"/>
      <c r="Y56" s="313"/>
      <c r="Z56" s="174"/>
      <c r="AA56" s="312"/>
    </row>
    <row r="57" spans="1:27" ht="14.25">
      <c r="A57" s="65">
        <v>5</v>
      </c>
      <c r="B57" s="45">
        <f t="shared" si="9"/>
        <v>0.412</v>
      </c>
      <c r="C57" s="46">
        <f t="shared" si="9"/>
        <v>0.01</v>
      </c>
      <c r="D57" s="46">
        <f t="shared" si="9"/>
        <v>0.15</v>
      </c>
      <c r="E57" s="46">
        <f t="shared" si="9"/>
        <v>4</v>
      </c>
      <c r="F57" s="46">
        <f t="shared" si="9"/>
        <v>2</v>
      </c>
      <c r="G57" s="47">
        <f t="shared" si="9"/>
        <v>2</v>
      </c>
      <c r="H57" s="48">
        <f t="shared" si="23"/>
        <v>0.0001</v>
      </c>
      <c r="I57" s="49">
        <f t="shared" si="10"/>
        <v>0.41476423888968145</v>
      </c>
      <c r="J57" s="49">
        <f t="shared" si="11"/>
        <v>0.00040002</v>
      </c>
      <c r="K57" s="49">
        <f t="shared" si="12"/>
        <v>4.0004472135955</v>
      </c>
      <c r="L57" s="50">
        <f t="shared" si="13"/>
        <v>9.999382035101827E-05</v>
      </c>
      <c r="M57" s="48">
        <f t="shared" si="24"/>
        <v>0.62509375</v>
      </c>
      <c r="N57" s="49">
        <f t="shared" si="14"/>
        <v>-1.6053936179186041</v>
      </c>
      <c r="O57" s="49">
        <f t="shared" si="15"/>
        <v>3.281859392578125</v>
      </c>
      <c r="P57" s="49">
        <f t="shared" si="16"/>
        <v>6.795504234620518</v>
      </c>
      <c r="Q57" s="50">
        <f t="shared" si="17"/>
        <v>0.48294567691655543</v>
      </c>
      <c r="R57" s="48">
        <f t="shared" si="18"/>
        <v>0.312596875</v>
      </c>
      <c r="S57" s="49">
        <f t="shared" si="19"/>
        <v>-0.18599855633245443</v>
      </c>
      <c r="T57" s="49">
        <f t="shared" si="20"/>
        <v>1.4458211125195313</v>
      </c>
      <c r="U57" s="49">
        <f t="shared" si="21"/>
        <v>5.39797572410801</v>
      </c>
      <c r="V57" s="50">
        <f t="shared" si="22"/>
        <v>0.2678450564463119</v>
      </c>
      <c r="W57" s="313"/>
      <c r="X57" s="313"/>
      <c r="Y57" s="313"/>
      <c r="Z57" s="174"/>
      <c r="AA57" s="312"/>
    </row>
    <row r="58" spans="1:27" ht="14.25">
      <c r="A58" s="65">
        <v>6</v>
      </c>
      <c r="B58" s="45">
        <f t="shared" si="9"/>
        <v>0.412</v>
      </c>
      <c r="C58" s="46">
        <f t="shared" si="9"/>
        <v>0.01</v>
      </c>
      <c r="D58" s="46">
        <f t="shared" si="9"/>
        <v>0.15</v>
      </c>
      <c r="E58" s="46">
        <f t="shared" si="9"/>
        <v>4</v>
      </c>
      <c r="F58" s="46">
        <f t="shared" si="9"/>
        <v>2</v>
      </c>
      <c r="G58" s="47">
        <f t="shared" si="9"/>
        <v>2</v>
      </c>
      <c r="H58" s="48">
        <f t="shared" si="23"/>
        <v>0.0001</v>
      </c>
      <c r="I58" s="49">
        <f t="shared" si="10"/>
        <v>0.41476423888968145</v>
      </c>
      <c r="J58" s="49">
        <f t="shared" si="11"/>
        <v>0.00040002</v>
      </c>
      <c r="K58" s="49">
        <f t="shared" si="12"/>
        <v>4.0004472135955</v>
      </c>
      <c r="L58" s="50">
        <f t="shared" si="13"/>
        <v>9.999382035101827E-05</v>
      </c>
      <c r="M58" s="48">
        <f t="shared" si="24"/>
        <v>0.312596875</v>
      </c>
      <c r="N58" s="49">
        <f t="shared" si="14"/>
        <v>-0.18599855633245443</v>
      </c>
      <c r="O58" s="49">
        <f t="shared" si="15"/>
        <v>1.4458211125195313</v>
      </c>
      <c r="P58" s="49">
        <f t="shared" si="16"/>
        <v>5.39797572410801</v>
      </c>
      <c r="Q58" s="50">
        <f t="shared" si="17"/>
        <v>0.2678450564463119</v>
      </c>
      <c r="R58" s="48">
        <f t="shared" si="18"/>
        <v>0.1563484375</v>
      </c>
      <c r="S58" s="49">
        <f t="shared" si="19"/>
        <v>0.22995708393503805</v>
      </c>
      <c r="T58" s="49">
        <f t="shared" si="20"/>
        <v>0.6742834178173828</v>
      </c>
      <c r="U58" s="49">
        <f t="shared" si="21"/>
        <v>4.699211468851755</v>
      </c>
      <c r="V58" s="50">
        <f t="shared" si="22"/>
        <v>0.14348863044083074</v>
      </c>
      <c r="W58" s="313"/>
      <c r="X58" s="313"/>
      <c r="Y58" s="313"/>
      <c r="Z58" s="174"/>
      <c r="AA58" s="312"/>
    </row>
    <row r="59" spans="1:27" ht="14.25">
      <c r="A59" s="65">
        <v>7</v>
      </c>
      <c r="B59" s="45">
        <f t="shared" si="9"/>
        <v>0.412</v>
      </c>
      <c r="C59" s="46">
        <f t="shared" si="9"/>
        <v>0.01</v>
      </c>
      <c r="D59" s="46">
        <f t="shared" si="9"/>
        <v>0.15</v>
      </c>
      <c r="E59" s="46">
        <f t="shared" si="9"/>
        <v>4</v>
      </c>
      <c r="F59" s="46">
        <f t="shared" si="9"/>
        <v>2</v>
      </c>
      <c r="G59" s="47">
        <f t="shared" si="9"/>
        <v>2</v>
      </c>
      <c r="H59" s="48">
        <f t="shared" si="23"/>
        <v>0.1563484375</v>
      </c>
      <c r="I59" s="49">
        <f t="shared" si="10"/>
        <v>0.22995708393503805</v>
      </c>
      <c r="J59" s="49">
        <f t="shared" si="11"/>
        <v>0.6742834178173828</v>
      </c>
      <c r="K59" s="49">
        <f t="shared" si="12"/>
        <v>4.699211468851755</v>
      </c>
      <c r="L59" s="50">
        <f t="shared" si="13"/>
        <v>0.14348863044083074</v>
      </c>
      <c r="M59" s="48">
        <f t="shared" si="24"/>
        <v>0.312596875</v>
      </c>
      <c r="N59" s="49">
        <f t="shared" si="14"/>
        <v>-0.18599855633245443</v>
      </c>
      <c r="O59" s="49">
        <f t="shared" si="15"/>
        <v>1.4458211125195313</v>
      </c>
      <c r="P59" s="49">
        <f t="shared" si="16"/>
        <v>5.39797572410801</v>
      </c>
      <c r="Q59" s="50">
        <f t="shared" si="17"/>
        <v>0.2678450564463119</v>
      </c>
      <c r="R59" s="48">
        <f t="shared" si="18"/>
        <v>0.23447265625</v>
      </c>
      <c r="S59" s="49">
        <f t="shared" si="19"/>
        <v>0.04744181150954796</v>
      </c>
      <c r="T59" s="49">
        <f t="shared" si="20"/>
        <v>1.0478454780578612</v>
      </c>
      <c r="U59" s="49">
        <f t="shared" si="21"/>
        <v>5.048593596479882</v>
      </c>
      <c r="V59" s="50">
        <f t="shared" si="22"/>
        <v>0.20755195640791302</v>
      </c>
      <c r="W59" s="313"/>
      <c r="X59" s="313"/>
      <c r="Y59" s="313"/>
      <c r="Z59" s="174"/>
      <c r="AA59" s="312"/>
    </row>
    <row r="60" spans="1:27" ht="14.25">
      <c r="A60" s="65">
        <v>8</v>
      </c>
      <c r="B60" s="45">
        <f t="shared" si="9"/>
        <v>0.412</v>
      </c>
      <c r="C60" s="46">
        <f t="shared" si="9"/>
        <v>0.01</v>
      </c>
      <c r="D60" s="46">
        <f t="shared" si="9"/>
        <v>0.15</v>
      </c>
      <c r="E60" s="46">
        <f t="shared" si="9"/>
        <v>4</v>
      </c>
      <c r="F60" s="46">
        <f t="shared" si="9"/>
        <v>2</v>
      </c>
      <c r="G60" s="47">
        <f t="shared" si="9"/>
        <v>2</v>
      </c>
      <c r="H60" s="48">
        <f t="shared" si="23"/>
        <v>0.23447265625</v>
      </c>
      <c r="I60" s="49">
        <f t="shared" si="10"/>
        <v>0.04744181150954796</v>
      </c>
      <c r="J60" s="49">
        <f t="shared" si="11"/>
        <v>1.0478454780578612</v>
      </c>
      <c r="K60" s="49">
        <f t="shared" si="12"/>
        <v>5.048593596479882</v>
      </c>
      <c r="L60" s="50">
        <f t="shared" si="13"/>
        <v>0.20755195640791302</v>
      </c>
      <c r="M60" s="48">
        <f t="shared" si="24"/>
        <v>0.312596875</v>
      </c>
      <c r="N60" s="49">
        <f t="shared" si="14"/>
        <v>-0.18599855633245443</v>
      </c>
      <c r="O60" s="49">
        <f t="shared" si="15"/>
        <v>1.4458211125195313</v>
      </c>
      <c r="P60" s="49">
        <f t="shared" si="16"/>
        <v>5.39797572410801</v>
      </c>
      <c r="Q60" s="50">
        <f t="shared" si="17"/>
        <v>0.2678450564463119</v>
      </c>
      <c r="R60" s="48">
        <f t="shared" si="18"/>
        <v>0.273534765625</v>
      </c>
      <c r="S60" s="49">
        <f t="shared" si="19"/>
        <v>-0.06306966990271984</v>
      </c>
      <c r="T60" s="49">
        <f t="shared" si="20"/>
        <v>1.2437815985110474</v>
      </c>
      <c r="U60" s="49">
        <f t="shared" si="21"/>
        <v>5.223284660293945</v>
      </c>
      <c r="V60" s="50">
        <f t="shared" si="22"/>
        <v>0.238122499423773</v>
      </c>
      <c r="W60" s="313"/>
      <c r="X60" s="313"/>
      <c r="Y60" s="313"/>
      <c r="Z60" s="174"/>
      <c r="AA60" s="312"/>
    </row>
    <row r="61" spans="1:27" ht="14.25">
      <c r="A61" s="65">
        <v>9</v>
      </c>
      <c r="B61" s="45">
        <f t="shared" si="9"/>
        <v>0.412</v>
      </c>
      <c r="C61" s="46">
        <f t="shared" si="9"/>
        <v>0.01</v>
      </c>
      <c r="D61" s="46">
        <f t="shared" si="9"/>
        <v>0.15</v>
      </c>
      <c r="E61" s="46">
        <f t="shared" si="9"/>
        <v>4</v>
      </c>
      <c r="F61" s="46">
        <f t="shared" si="9"/>
        <v>2</v>
      </c>
      <c r="G61" s="47">
        <f t="shared" si="9"/>
        <v>2</v>
      </c>
      <c r="H61" s="48">
        <f t="shared" si="23"/>
        <v>0.23447265625</v>
      </c>
      <c r="I61" s="49">
        <f t="shared" si="10"/>
        <v>0.04744181150954796</v>
      </c>
      <c r="J61" s="49">
        <f t="shared" si="11"/>
        <v>1.0478454780578612</v>
      </c>
      <c r="K61" s="49">
        <f t="shared" si="12"/>
        <v>5.048593596479882</v>
      </c>
      <c r="L61" s="50">
        <f t="shared" si="13"/>
        <v>0.20755195640791302</v>
      </c>
      <c r="M61" s="48">
        <f t="shared" si="24"/>
        <v>0.273534765625</v>
      </c>
      <c r="N61" s="49">
        <f t="shared" si="14"/>
        <v>-0.06306966990271984</v>
      </c>
      <c r="O61" s="49">
        <f t="shared" si="15"/>
        <v>1.2437815985110474</v>
      </c>
      <c r="P61" s="49">
        <f t="shared" si="16"/>
        <v>5.223284660293945</v>
      </c>
      <c r="Q61" s="50">
        <f t="shared" si="17"/>
        <v>0.238122499423773</v>
      </c>
      <c r="R61" s="48">
        <f t="shared" si="18"/>
        <v>0.2540037109375</v>
      </c>
      <c r="S61" s="49">
        <f t="shared" si="19"/>
        <v>-0.0062469835406349095</v>
      </c>
      <c r="T61" s="49">
        <f t="shared" si="20"/>
        <v>1.1450506140900423</v>
      </c>
      <c r="U61" s="49">
        <f t="shared" si="21"/>
        <v>5.135939128386914</v>
      </c>
      <c r="V61" s="50">
        <f t="shared" si="22"/>
        <v>0.22294863421593503</v>
      </c>
      <c r="W61" s="313"/>
      <c r="X61" s="313"/>
      <c r="Y61" s="313"/>
      <c r="Z61" s="174"/>
      <c r="AA61" s="312"/>
    </row>
    <row r="62" spans="1:27" ht="14.25">
      <c r="A62" s="65">
        <v>10</v>
      </c>
      <c r="B62" s="45">
        <f t="shared" si="9"/>
        <v>0.412</v>
      </c>
      <c r="C62" s="46">
        <f t="shared" si="9"/>
        <v>0.01</v>
      </c>
      <c r="D62" s="46">
        <f t="shared" si="9"/>
        <v>0.15</v>
      </c>
      <c r="E62" s="46">
        <f t="shared" si="9"/>
        <v>4</v>
      </c>
      <c r="F62" s="46">
        <f t="shared" si="9"/>
        <v>2</v>
      </c>
      <c r="G62" s="47">
        <f t="shared" si="9"/>
        <v>2</v>
      </c>
      <c r="H62" s="48">
        <f t="shared" si="23"/>
        <v>0.23447265625</v>
      </c>
      <c r="I62" s="49">
        <f t="shared" si="10"/>
        <v>0.04744181150954796</v>
      </c>
      <c r="J62" s="49">
        <f t="shared" si="11"/>
        <v>1.0478454780578612</v>
      </c>
      <c r="K62" s="49">
        <f t="shared" si="12"/>
        <v>5.048593596479882</v>
      </c>
      <c r="L62" s="50">
        <f t="shared" si="13"/>
        <v>0.20755195640791302</v>
      </c>
      <c r="M62" s="48">
        <f t="shared" si="24"/>
        <v>0.2540037109375</v>
      </c>
      <c r="N62" s="49">
        <f t="shared" si="14"/>
        <v>-0.0062469835406349095</v>
      </c>
      <c r="O62" s="49">
        <f t="shared" si="15"/>
        <v>1.1450506140900423</v>
      </c>
      <c r="P62" s="49">
        <f t="shared" si="16"/>
        <v>5.135939128386914</v>
      </c>
      <c r="Q62" s="50">
        <f t="shared" si="17"/>
        <v>0.22294863421593503</v>
      </c>
      <c r="R62" s="48">
        <f t="shared" si="18"/>
        <v>0.24423818359375</v>
      </c>
      <c r="S62" s="49">
        <f t="shared" si="19"/>
        <v>0.020991346963296242</v>
      </c>
      <c r="T62" s="49">
        <f t="shared" si="20"/>
        <v>1.0962573150253485</v>
      </c>
      <c r="U62" s="49">
        <f t="shared" si="21"/>
        <v>5.0922663624333975</v>
      </c>
      <c r="V62" s="50">
        <f t="shared" si="22"/>
        <v>0.21527886347671127</v>
      </c>
      <c r="W62" s="313"/>
      <c r="X62" s="313"/>
      <c r="Y62" s="313"/>
      <c r="Z62" s="174"/>
      <c r="AA62" s="312"/>
    </row>
    <row r="63" spans="1:27" ht="14.25">
      <c r="A63" s="65">
        <v>11</v>
      </c>
      <c r="B63" s="45">
        <f t="shared" si="9"/>
        <v>0.412</v>
      </c>
      <c r="C63" s="46">
        <f t="shared" si="9"/>
        <v>0.01</v>
      </c>
      <c r="D63" s="46">
        <f t="shared" si="9"/>
        <v>0.15</v>
      </c>
      <c r="E63" s="46">
        <f t="shared" si="9"/>
        <v>4</v>
      </c>
      <c r="F63" s="46">
        <f t="shared" si="9"/>
        <v>2</v>
      </c>
      <c r="G63" s="47">
        <f t="shared" si="9"/>
        <v>2</v>
      </c>
      <c r="H63" s="48">
        <f t="shared" si="23"/>
        <v>0.24423818359375</v>
      </c>
      <c r="I63" s="49">
        <f t="shared" si="10"/>
        <v>0.020991346963296242</v>
      </c>
      <c r="J63" s="49">
        <f t="shared" si="11"/>
        <v>1.0962573150253485</v>
      </c>
      <c r="K63" s="49">
        <f t="shared" si="12"/>
        <v>5.0922663624333975</v>
      </c>
      <c r="L63" s="50">
        <f t="shared" si="13"/>
        <v>0.21527886347671127</v>
      </c>
      <c r="M63" s="48">
        <f t="shared" si="24"/>
        <v>0.2540037109375</v>
      </c>
      <c r="N63" s="49">
        <f t="shared" si="14"/>
        <v>-0.0062469835406349095</v>
      </c>
      <c r="O63" s="49">
        <f t="shared" si="15"/>
        <v>1.1450506140900423</v>
      </c>
      <c r="P63" s="49">
        <f t="shared" si="16"/>
        <v>5.135939128386914</v>
      </c>
      <c r="Q63" s="50">
        <f t="shared" si="17"/>
        <v>0.22294863421593503</v>
      </c>
      <c r="R63" s="48">
        <f t="shared" si="18"/>
        <v>0.249120947265625</v>
      </c>
      <c r="S63" s="49">
        <f t="shared" si="19"/>
        <v>0.0074703728617820375</v>
      </c>
      <c r="T63" s="49">
        <f t="shared" si="20"/>
        <v>1.1206062817955447</v>
      </c>
      <c r="U63" s="49">
        <f t="shared" si="21"/>
        <v>5.114102745410156</v>
      </c>
      <c r="V63" s="50">
        <f t="shared" si="22"/>
        <v>0.2191207994014737</v>
      </c>
      <c r="W63" s="313"/>
      <c r="X63" s="313"/>
      <c r="Y63" s="313"/>
      <c r="Z63" s="174"/>
      <c r="AA63" s="312"/>
    </row>
    <row r="64" spans="1:27" ht="14.25">
      <c r="A64" s="65">
        <v>12</v>
      </c>
      <c r="B64" s="45">
        <f t="shared" si="9"/>
        <v>0.412</v>
      </c>
      <c r="C64" s="46">
        <f t="shared" si="9"/>
        <v>0.01</v>
      </c>
      <c r="D64" s="46">
        <f t="shared" si="9"/>
        <v>0.15</v>
      </c>
      <c r="E64" s="46">
        <f t="shared" si="9"/>
        <v>4</v>
      </c>
      <c r="F64" s="46">
        <f t="shared" si="9"/>
        <v>2</v>
      </c>
      <c r="G64" s="47">
        <f t="shared" si="9"/>
        <v>2</v>
      </c>
      <c r="H64" s="48">
        <f t="shared" si="23"/>
        <v>0.249120947265625</v>
      </c>
      <c r="I64" s="49">
        <f t="shared" si="10"/>
        <v>0.0074703728617820375</v>
      </c>
      <c r="J64" s="49">
        <f t="shared" si="11"/>
        <v>1.1206062817955447</v>
      </c>
      <c r="K64" s="49">
        <f t="shared" si="12"/>
        <v>5.114102745410156</v>
      </c>
      <c r="L64" s="50">
        <f t="shared" si="13"/>
        <v>0.2191207994014737</v>
      </c>
      <c r="M64" s="48">
        <f t="shared" si="24"/>
        <v>0.2540037109375</v>
      </c>
      <c r="N64" s="49">
        <f t="shared" si="14"/>
        <v>-0.0062469835406349095</v>
      </c>
      <c r="O64" s="49">
        <f t="shared" si="15"/>
        <v>1.1450506140900423</v>
      </c>
      <c r="P64" s="49">
        <f t="shared" si="16"/>
        <v>5.135939128386914</v>
      </c>
      <c r="Q64" s="50">
        <f t="shared" si="17"/>
        <v>0.22294863421593503</v>
      </c>
      <c r="R64" s="48">
        <f t="shared" si="18"/>
        <v>0.2515623291015625</v>
      </c>
      <c r="S64" s="49">
        <f t="shared" si="19"/>
        <v>0.0006362075343374629</v>
      </c>
      <c r="T64" s="49">
        <f t="shared" si="20"/>
        <v>1.1328165272522557</v>
      </c>
      <c r="U64" s="49">
        <f t="shared" si="21"/>
        <v>5.125020936898535</v>
      </c>
      <c r="V64" s="50">
        <f t="shared" si="22"/>
        <v>0.22103646818227293</v>
      </c>
      <c r="W64" s="313"/>
      <c r="X64" s="313"/>
      <c r="Y64" s="313"/>
      <c r="Z64" s="174"/>
      <c r="AA64" s="312"/>
    </row>
    <row r="65" spans="1:27" ht="14.25">
      <c r="A65" s="65">
        <v>13</v>
      </c>
      <c r="B65" s="45">
        <f t="shared" si="9"/>
        <v>0.412</v>
      </c>
      <c r="C65" s="46">
        <f t="shared" si="9"/>
        <v>0.01</v>
      </c>
      <c r="D65" s="46">
        <f t="shared" si="9"/>
        <v>0.15</v>
      </c>
      <c r="E65" s="46">
        <f t="shared" si="9"/>
        <v>4</v>
      </c>
      <c r="F65" s="46">
        <f t="shared" si="9"/>
        <v>2</v>
      </c>
      <c r="G65" s="47">
        <f t="shared" si="9"/>
        <v>2</v>
      </c>
      <c r="H65" s="48">
        <f t="shared" si="23"/>
        <v>0.2515623291015625</v>
      </c>
      <c r="I65" s="49">
        <f t="shared" si="10"/>
        <v>0.0006362075343374629</v>
      </c>
      <c r="J65" s="49">
        <f t="shared" si="11"/>
        <v>1.1328165272522557</v>
      </c>
      <c r="K65" s="49">
        <f t="shared" si="12"/>
        <v>5.125020936898535</v>
      </c>
      <c r="L65" s="50">
        <f t="shared" si="13"/>
        <v>0.22103646818227293</v>
      </c>
      <c r="M65" s="48">
        <f t="shared" si="24"/>
        <v>0.2540037109375</v>
      </c>
      <c r="N65" s="49">
        <f t="shared" si="14"/>
        <v>-0.0062469835406349095</v>
      </c>
      <c r="O65" s="49">
        <f t="shared" si="15"/>
        <v>1.1450506140900423</v>
      </c>
      <c r="P65" s="49">
        <f t="shared" si="16"/>
        <v>5.135939128386914</v>
      </c>
      <c r="Q65" s="50">
        <f t="shared" si="17"/>
        <v>0.22294863421593503</v>
      </c>
      <c r="R65" s="48">
        <f t="shared" si="18"/>
        <v>0.25278302001953123</v>
      </c>
      <c r="S65" s="49">
        <f t="shared" si="19"/>
        <v>-0.002799264052585626</v>
      </c>
      <c r="T65" s="49">
        <f t="shared" si="20"/>
        <v>1.1389305904985143</v>
      </c>
      <c r="U65" s="49">
        <f t="shared" si="21"/>
        <v>5.1304800326427245</v>
      </c>
      <c r="V65" s="50">
        <f t="shared" si="22"/>
        <v>0.22199298764483213</v>
      </c>
      <c r="W65" s="313"/>
      <c r="X65" s="313"/>
      <c r="Y65" s="313"/>
      <c r="Z65" s="174"/>
      <c r="AA65" s="312"/>
    </row>
    <row r="66" spans="1:27" ht="14.25">
      <c r="A66" s="65">
        <v>14</v>
      </c>
      <c r="B66" s="45">
        <f t="shared" si="9"/>
        <v>0.412</v>
      </c>
      <c r="C66" s="46">
        <f t="shared" si="9"/>
        <v>0.01</v>
      </c>
      <c r="D66" s="46">
        <f t="shared" si="9"/>
        <v>0.15</v>
      </c>
      <c r="E66" s="46">
        <f t="shared" si="9"/>
        <v>4</v>
      </c>
      <c r="F66" s="46">
        <f t="shared" si="9"/>
        <v>2</v>
      </c>
      <c r="G66" s="47">
        <f t="shared" si="9"/>
        <v>2</v>
      </c>
      <c r="H66" s="48">
        <f t="shared" si="23"/>
        <v>0.2515623291015625</v>
      </c>
      <c r="I66" s="49">
        <f t="shared" si="10"/>
        <v>0.0006362075343374629</v>
      </c>
      <c r="J66" s="49">
        <f t="shared" si="11"/>
        <v>1.1328165272522557</v>
      </c>
      <c r="K66" s="49">
        <f t="shared" si="12"/>
        <v>5.125020936898535</v>
      </c>
      <c r="L66" s="50">
        <f t="shared" si="13"/>
        <v>0.22103646818227293</v>
      </c>
      <c r="M66" s="48">
        <f t="shared" si="24"/>
        <v>0.25278302001953123</v>
      </c>
      <c r="N66" s="49">
        <f t="shared" si="14"/>
        <v>-0.002799264052585626</v>
      </c>
      <c r="O66" s="49">
        <f t="shared" si="15"/>
        <v>1.1389305904985143</v>
      </c>
      <c r="P66" s="49">
        <f t="shared" si="16"/>
        <v>5.1304800326427245</v>
      </c>
      <c r="Q66" s="50">
        <f t="shared" si="17"/>
        <v>0.22199298764483213</v>
      </c>
      <c r="R66" s="48">
        <f t="shared" si="18"/>
        <v>0.2521726745605469</v>
      </c>
      <c r="S66" s="49">
        <f t="shared" si="19"/>
        <v>-0.0010799967422348566</v>
      </c>
      <c r="T66" s="49">
        <f t="shared" si="20"/>
        <v>1.1358728138322265</v>
      </c>
      <c r="U66" s="49">
        <f t="shared" si="21"/>
        <v>5.12775048477063</v>
      </c>
      <c r="V66" s="50">
        <f t="shared" si="22"/>
        <v>0.2215148371992276</v>
      </c>
      <c r="W66" s="313"/>
      <c r="X66" s="313"/>
      <c r="Y66" s="313"/>
      <c r="Z66" s="174"/>
      <c r="AA66" s="312"/>
    </row>
    <row r="67" spans="1:27" ht="14.25">
      <c r="A67" s="65">
        <v>15</v>
      </c>
      <c r="B67" s="45">
        <f t="shared" si="9"/>
        <v>0.412</v>
      </c>
      <c r="C67" s="46">
        <f t="shared" si="9"/>
        <v>0.01</v>
      </c>
      <c r="D67" s="46">
        <f t="shared" si="9"/>
        <v>0.15</v>
      </c>
      <c r="E67" s="46">
        <f t="shared" si="9"/>
        <v>4</v>
      </c>
      <c r="F67" s="46">
        <f t="shared" si="9"/>
        <v>2</v>
      </c>
      <c r="G67" s="47">
        <f t="shared" si="9"/>
        <v>2</v>
      </c>
      <c r="H67" s="48">
        <f t="shared" si="23"/>
        <v>0.2515623291015625</v>
      </c>
      <c r="I67" s="49">
        <f t="shared" si="10"/>
        <v>0.0006362075343374629</v>
      </c>
      <c r="J67" s="49">
        <f t="shared" si="11"/>
        <v>1.1328165272522557</v>
      </c>
      <c r="K67" s="49">
        <f t="shared" si="12"/>
        <v>5.125020936898535</v>
      </c>
      <c r="L67" s="50">
        <f t="shared" si="13"/>
        <v>0.22103646818227293</v>
      </c>
      <c r="M67" s="48">
        <f t="shared" si="24"/>
        <v>0.2521726745605469</v>
      </c>
      <c r="N67" s="49">
        <f t="shared" si="14"/>
        <v>-0.0010799967422348566</v>
      </c>
      <c r="O67" s="49">
        <f t="shared" si="15"/>
        <v>1.1358728138322265</v>
      </c>
      <c r="P67" s="49">
        <f t="shared" si="16"/>
        <v>5.12775048477063</v>
      </c>
      <c r="Q67" s="50">
        <f t="shared" si="17"/>
        <v>0.2215148371992276</v>
      </c>
      <c r="R67" s="48">
        <f t="shared" si="18"/>
        <v>0.25186750183105466</v>
      </c>
      <c r="S67" s="49">
        <f t="shared" si="19"/>
        <v>-0.00022151165820155638</v>
      </c>
      <c r="T67" s="49">
        <f t="shared" si="20"/>
        <v>1.1343444842814514</v>
      </c>
      <c r="U67" s="49">
        <f t="shared" si="21"/>
        <v>5.126385710834582</v>
      </c>
      <c r="V67" s="50">
        <f t="shared" si="22"/>
        <v>0.22127568003399</v>
      </c>
      <c r="W67" s="313"/>
      <c r="X67" s="313"/>
      <c r="Y67" s="313"/>
      <c r="Z67" s="174"/>
      <c r="AA67" s="312"/>
    </row>
    <row r="68" spans="1:27" ht="14.25">
      <c r="A68" s="65">
        <v>16</v>
      </c>
      <c r="B68" s="45">
        <f t="shared" si="9"/>
        <v>0.412</v>
      </c>
      <c r="C68" s="46">
        <f t="shared" si="9"/>
        <v>0.01</v>
      </c>
      <c r="D68" s="46">
        <f t="shared" si="9"/>
        <v>0.15</v>
      </c>
      <c r="E68" s="46">
        <f t="shared" si="9"/>
        <v>4</v>
      </c>
      <c r="F68" s="46">
        <f t="shared" si="9"/>
        <v>2</v>
      </c>
      <c r="G68" s="47">
        <f t="shared" si="9"/>
        <v>2</v>
      </c>
      <c r="H68" s="48">
        <f t="shared" si="23"/>
        <v>0.2515623291015625</v>
      </c>
      <c r="I68" s="49">
        <f t="shared" si="10"/>
        <v>0.0006362075343374629</v>
      </c>
      <c r="J68" s="49">
        <f t="shared" si="11"/>
        <v>1.1328165272522557</v>
      </c>
      <c r="K68" s="49">
        <f t="shared" si="12"/>
        <v>5.125020936898535</v>
      </c>
      <c r="L68" s="50">
        <f t="shared" si="13"/>
        <v>0.22103646818227293</v>
      </c>
      <c r="M68" s="48">
        <f t="shared" si="24"/>
        <v>0.25186750183105466</v>
      </c>
      <c r="N68" s="49">
        <f t="shared" si="14"/>
        <v>-0.00022151165820155638</v>
      </c>
      <c r="O68" s="49">
        <f t="shared" si="15"/>
        <v>1.1343444842814514</v>
      </c>
      <c r="P68" s="49">
        <f t="shared" si="16"/>
        <v>5.126385710834582</v>
      </c>
      <c r="Q68" s="50">
        <f t="shared" si="17"/>
        <v>0.22127568003399</v>
      </c>
      <c r="R68" s="48">
        <f t="shared" si="18"/>
        <v>0.2517149154663086</v>
      </c>
      <c r="S68" s="49">
        <f t="shared" si="19"/>
        <v>0.00020744368284353332</v>
      </c>
      <c r="T68" s="49">
        <f t="shared" si="20"/>
        <v>1.133580459201656</v>
      </c>
      <c r="U68" s="49">
        <f t="shared" si="21"/>
        <v>5.125703323866558</v>
      </c>
      <c r="V68" s="50">
        <f t="shared" si="22"/>
        <v>0.22115608094667158</v>
      </c>
      <c r="W68" s="313"/>
      <c r="X68" s="313"/>
      <c r="Y68" s="313"/>
      <c r="Z68" s="174"/>
      <c r="AA68" s="312"/>
    </row>
    <row r="69" spans="1:27" ht="14.25">
      <c r="A69" s="65">
        <v>17</v>
      </c>
      <c r="B69" s="45">
        <f t="shared" si="9"/>
        <v>0.412</v>
      </c>
      <c r="C69" s="46">
        <f t="shared" si="9"/>
        <v>0.01</v>
      </c>
      <c r="D69" s="46">
        <f t="shared" si="9"/>
        <v>0.15</v>
      </c>
      <c r="E69" s="46">
        <f t="shared" si="9"/>
        <v>4</v>
      </c>
      <c r="F69" s="46">
        <f t="shared" si="9"/>
        <v>2</v>
      </c>
      <c r="G69" s="47">
        <f t="shared" si="9"/>
        <v>2</v>
      </c>
      <c r="H69" s="48">
        <f t="shared" si="23"/>
        <v>0.2517149154663086</v>
      </c>
      <c r="I69" s="49">
        <f t="shared" si="10"/>
        <v>0.00020744368284353332</v>
      </c>
      <c r="J69" s="49">
        <f t="shared" si="11"/>
        <v>1.133580459201656</v>
      </c>
      <c r="K69" s="49">
        <f t="shared" si="12"/>
        <v>5.125703323866558</v>
      </c>
      <c r="L69" s="50">
        <f t="shared" si="13"/>
        <v>0.22115608094667158</v>
      </c>
      <c r="M69" s="48">
        <f t="shared" si="24"/>
        <v>0.25186750183105466</v>
      </c>
      <c r="N69" s="49">
        <f t="shared" si="14"/>
        <v>-0.00022151165820155638</v>
      </c>
      <c r="O69" s="49">
        <f t="shared" si="15"/>
        <v>1.1343444842814514</v>
      </c>
      <c r="P69" s="49">
        <f t="shared" si="16"/>
        <v>5.126385710834582</v>
      </c>
      <c r="Q69" s="50">
        <f t="shared" si="17"/>
        <v>0.22127568003399</v>
      </c>
      <c r="R69" s="48">
        <f t="shared" si="18"/>
        <v>0.25179120864868165</v>
      </c>
      <c r="S69" s="49">
        <f t="shared" si="19"/>
        <v>-7.010052528511057E-06</v>
      </c>
      <c r="T69" s="49">
        <f t="shared" si="20"/>
        <v>1.1339624601002545</v>
      </c>
      <c r="U69" s="49">
        <f t="shared" si="21"/>
        <v>5.126044517350571</v>
      </c>
      <c r="V69" s="50">
        <f t="shared" si="22"/>
        <v>0.22121588219962443</v>
      </c>
      <c r="W69" s="313"/>
      <c r="X69" s="313"/>
      <c r="Y69" s="313"/>
      <c r="Z69" s="174"/>
      <c r="AA69" s="312"/>
    </row>
    <row r="70" spans="1:27" ht="14.25">
      <c r="A70" s="65">
        <v>18</v>
      </c>
      <c r="B70" s="45">
        <f aca="true" t="shared" si="25" ref="B70:G82">B69</f>
        <v>0.412</v>
      </c>
      <c r="C70" s="46">
        <f t="shared" si="25"/>
        <v>0.01</v>
      </c>
      <c r="D70" s="46">
        <f t="shared" si="25"/>
        <v>0.15</v>
      </c>
      <c r="E70" s="46">
        <f t="shared" si="25"/>
        <v>4</v>
      </c>
      <c r="F70" s="46">
        <f t="shared" si="25"/>
        <v>2</v>
      </c>
      <c r="G70" s="47">
        <f t="shared" si="25"/>
        <v>2</v>
      </c>
      <c r="H70" s="48">
        <f t="shared" si="23"/>
        <v>0.2517149154663086</v>
      </c>
      <c r="I70" s="49">
        <f t="shared" si="10"/>
        <v>0.00020744368284353332</v>
      </c>
      <c r="J70" s="49">
        <f t="shared" si="11"/>
        <v>1.133580459201656</v>
      </c>
      <c r="K70" s="49">
        <f t="shared" si="12"/>
        <v>5.125703323866558</v>
      </c>
      <c r="L70" s="50">
        <f t="shared" si="13"/>
        <v>0.22115608094667158</v>
      </c>
      <c r="M70" s="48">
        <f t="shared" si="24"/>
        <v>0.25179120864868165</v>
      </c>
      <c r="N70" s="49">
        <f t="shared" si="14"/>
        <v>-7.010052528511057E-06</v>
      </c>
      <c r="O70" s="49">
        <f t="shared" si="15"/>
        <v>1.1339624601002545</v>
      </c>
      <c r="P70" s="49">
        <f t="shared" si="16"/>
        <v>5.126044517350571</v>
      </c>
      <c r="Q70" s="50">
        <f t="shared" si="17"/>
        <v>0.22121588219962443</v>
      </c>
      <c r="R70" s="48">
        <f t="shared" si="18"/>
        <v>0.25175306205749515</v>
      </c>
      <c r="S70" s="49">
        <f t="shared" si="19"/>
        <v>0.0001002227990754001</v>
      </c>
      <c r="T70" s="49">
        <f t="shared" si="20"/>
        <v>1.1337714567406305</v>
      </c>
      <c r="U70" s="49">
        <f t="shared" si="21"/>
        <v>5.125873920608564</v>
      </c>
      <c r="V70" s="50">
        <f t="shared" si="22"/>
        <v>0.22118598200051412</v>
      </c>
      <c r="W70" s="313"/>
      <c r="X70" s="313"/>
      <c r="Y70" s="313"/>
      <c r="Z70" s="174"/>
      <c r="AA70" s="312"/>
    </row>
    <row r="71" spans="1:27" ht="14.25">
      <c r="A71" s="65">
        <v>19</v>
      </c>
      <c r="B71" s="45">
        <f t="shared" si="25"/>
        <v>0.412</v>
      </c>
      <c r="C71" s="46">
        <f t="shared" si="25"/>
        <v>0.01</v>
      </c>
      <c r="D71" s="46">
        <f t="shared" si="25"/>
        <v>0.15</v>
      </c>
      <c r="E71" s="46">
        <f t="shared" si="25"/>
        <v>4</v>
      </c>
      <c r="F71" s="46">
        <f t="shared" si="25"/>
        <v>2</v>
      </c>
      <c r="G71" s="47">
        <f t="shared" si="25"/>
        <v>2</v>
      </c>
      <c r="H71" s="48">
        <f t="shared" si="23"/>
        <v>0.25175306205749515</v>
      </c>
      <c r="I71" s="49">
        <f t="shared" si="10"/>
        <v>0.0001002227990754001</v>
      </c>
      <c r="J71" s="49">
        <f t="shared" si="11"/>
        <v>1.1337714567406305</v>
      </c>
      <c r="K71" s="49">
        <f t="shared" si="12"/>
        <v>5.125873920608564</v>
      </c>
      <c r="L71" s="50">
        <f t="shared" si="13"/>
        <v>0.22118598200051412</v>
      </c>
      <c r="M71" s="48">
        <f t="shared" si="24"/>
        <v>0.25179120864868165</v>
      </c>
      <c r="N71" s="49">
        <f t="shared" si="14"/>
        <v>-7.010052528511057E-06</v>
      </c>
      <c r="O71" s="49">
        <f t="shared" si="15"/>
        <v>1.1339624601002545</v>
      </c>
      <c r="P71" s="49">
        <f t="shared" si="16"/>
        <v>5.126044517350571</v>
      </c>
      <c r="Q71" s="50">
        <f t="shared" si="17"/>
        <v>0.22121588219962443</v>
      </c>
      <c r="R71" s="48">
        <f t="shared" si="18"/>
        <v>0.2517721353530884</v>
      </c>
      <c r="S71" s="49">
        <f t="shared" si="19"/>
        <v>4.6607869236547916E-05</v>
      </c>
      <c r="T71" s="49">
        <f t="shared" si="20"/>
        <v>1.1338669576928613</v>
      </c>
      <c r="U71" s="49">
        <f t="shared" si="21"/>
        <v>5.125959218979567</v>
      </c>
      <c r="V71" s="50">
        <f t="shared" si="22"/>
        <v>0.22120093220690548</v>
      </c>
      <c r="W71" s="313"/>
      <c r="X71" s="313"/>
      <c r="Y71" s="313"/>
      <c r="Z71" s="174"/>
      <c r="AA71" s="312"/>
    </row>
    <row r="72" spans="1:27" ht="14.25">
      <c r="A72" s="65">
        <v>20</v>
      </c>
      <c r="B72" s="45">
        <f t="shared" si="25"/>
        <v>0.412</v>
      </c>
      <c r="C72" s="46">
        <f t="shared" si="25"/>
        <v>0.01</v>
      </c>
      <c r="D72" s="46">
        <f t="shared" si="25"/>
        <v>0.15</v>
      </c>
      <c r="E72" s="46">
        <f t="shared" si="25"/>
        <v>4</v>
      </c>
      <c r="F72" s="46">
        <f t="shared" si="25"/>
        <v>2</v>
      </c>
      <c r="G72" s="47">
        <f t="shared" si="25"/>
        <v>2</v>
      </c>
      <c r="H72" s="48">
        <f t="shared" si="23"/>
        <v>0.2517721353530884</v>
      </c>
      <c r="I72" s="49">
        <f t="shared" si="10"/>
        <v>4.6607869236547916E-05</v>
      </c>
      <c r="J72" s="49">
        <f t="shared" si="11"/>
        <v>1.1338669576928613</v>
      </c>
      <c r="K72" s="49">
        <f t="shared" si="12"/>
        <v>5.125959218979567</v>
      </c>
      <c r="L72" s="50">
        <f t="shared" si="13"/>
        <v>0.22120093220690548</v>
      </c>
      <c r="M72" s="48">
        <f t="shared" si="24"/>
        <v>0.25179120864868165</v>
      </c>
      <c r="N72" s="49">
        <f t="shared" si="14"/>
        <v>-7.010052528511057E-06</v>
      </c>
      <c r="O72" s="49">
        <f t="shared" si="15"/>
        <v>1.1339624601002545</v>
      </c>
      <c r="P72" s="49">
        <f t="shared" si="16"/>
        <v>5.126044517350571</v>
      </c>
      <c r="Q72" s="50">
        <f t="shared" si="17"/>
        <v>0.22121588219962443</v>
      </c>
      <c r="R72" s="48">
        <f t="shared" si="18"/>
        <v>0.251781672000885</v>
      </c>
      <c r="S72" s="49">
        <f t="shared" si="19"/>
        <v>1.9799282342747304E-05</v>
      </c>
      <c r="T72" s="49">
        <f t="shared" si="20"/>
        <v>1.1339147087146626</v>
      </c>
      <c r="U72" s="49">
        <f t="shared" si="21"/>
        <v>5.126001868165069</v>
      </c>
      <c r="V72" s="50">
        <f t="shared" si="22"/>
        <v>0.22120840722997331</v>
      </c>
      <c r="W72" s="313"/>
      <c r="X72" s="313"/>
      <c r="Y72" s="313"/>
      <c r="Z72" s="174"/>
      <c r="AA72" s="312"/>
    </row>
    <row r="73" spans="1:27" ht="14.25">
      <c r="A73" s="65">
        <v>21</v>
      </c>
      <c r="B73" s="45">
        <f t="shared" si="25"/>
        <v>0.412</v>
      </c>
      <c r="C73" s="46">
        <f t="shared" si="25"/>
        <v>0.01</v>
      </c>
      <c r="D73" s="46">
        <f t="shared" si="25"/>
        <v>0.15</v>
      </c>
      <c r="E73" s="46">
        <f t="shared" si="25"/>
        <v>4</v>
      </c>
      <c r="F73" s="46">
        <f t="shared" si="25"/>
        <v>2</v>
      </c>
      <c r="G73" s="47">
        <f t="shared" si="25"/>
        <v>2</v>
      </c>
      <c r="H73" s="48">
        <f t="shared" si="23"/>
        <v>0.251781672000885</v>
      </c>
      <c r="I73" s="49">
        <f t="shared" si="10"/>
        <v>1.9799282342747304E-05</v>
      </c>
      <c r="J73" s="49">
        <f t="shared" si="11"/>
        <v>1.1339147087146626</v>
      </c>
      <c r="K73" s="49">
        <f t="shared" si="12"/>
        <v>5.126001868165069</v>
      </c>
      <c r="L73" s="50">
        <f t="shared" si="13"/>
        <v>0.22120840722997331</v>
      </c>
      <c r="M73" s="48">
        <f t="shared" si="24"/>
        <v>0.25179120864868165</v>
      </c>
      <c r="N73" s="49">
        <f t="shared" si="14"/>
        <v>-7.010052528511057E-06</v>
      </c>
      <c r="O73" s="49">
        <f t="shared" si="15"/>
        <v>1.1339624601002545</v>
      </c>
      <c r="P73" s="49">
        <f t="shared" si="16"/>
        <v>5.126044517350571</v>
      </c>
      <c r="Q73" s="50">
        <f t="shared" si="17"/>
        <v>0.22121588219962443</v>
      </c>
      <c r="R73" s="48">
        <f t="shared" si="18"/>
        <v>0.25178644032478337</v>
      </c>
      <c r="S73" s="49">
        <f t="shared" si="19"/>
        <v>6.394708403856253E-06</v>
      </c>
      <c r="T73" s="49">
        <f t="shared" si="20"/>
        <v>1.133938584361985</v>
      </c>
      <c r="U73" s="49">
        <f t="shared" si="21"/>
        <v>5.1260231927578195</v>
      </c>
      <c r="V73" s="50">
        <f t="shared" si="22"/>
        <v>0.22121214472147593</v>
      </c>
      <c r="W73" s="313"/>
      <c r="X73" s="313"/>
      <c r="Y73" s="313"/>
      <c r="Z73" s="174"/>
      <c r="AA73" s="312"/>
    </row>
    <row r="74" spans="1:27" ht="14.25">
      <c r="A74" s="65">
        <v>22</v>
      </c>
      <c r="B74" s="45">
        <f t="shared" si="25"/>
        <v>0.412</v>
      </c>
      <c r="C74" s="46">
        <f t="shared" si="25"/>
        <v>0.01</v>
      </c>
      <c r="D74" s="46">
        <f t="shared" si="25"/>
        <v>0.15</v>
      </c>
      <c r="E74" s="46">
        <f t="shared" si="25"/>
        <v>4</v>
      </c>
      <c r="F74" s="46">
        <f t="shared" si="25"/>
        <v>2</v>
      </c>
      <c r="G74" s="47">
        <f t="shared" si="25"/>
        <v>2</v>
      </c>
      <c r="H74" s="48">
        <f t="shared" si="23"/>
        <v>0.25178644032478337</v>
      </c>
      <c r="I74" s="49">
        <f t="shared" si="10"/>
        <v>6.394708403856253E-06</v>
      </c>
      <c r="J74" s="49">
        <f t="shared" si="11"/>
        <v>1.133938584361985</v>
      </c>
      <c r="K74" s="49">
        <f t="shared" si="12"/>
        <v>5.1260231927578195</v>
      </c>
      <c r="L74" s="50">
        <f t="shared" si="13"/>
        <v>0.22121214472147593</v>
      </c>
      <c r="M74" s="48">
        <f t="shared" si="24"/>
        <v>0.25179120864868165</v>
      </c>
      <c r="N74" s="49">
        <f t="shared" si="14"/>
        <v>-7.010052528511057E-06</v>
      </c>
      <c r="O74" s="49">
        <f t="shared" si="15"/>
        <v>1.1339624601002545</v>
      </c>
      <c r="P74" s="49">
        <f t="shared" si="16"/>
        <v>5.126044517350571</v>
      </c>
      <c r="Q74" s="50">
        <f t="shared" si="17"/>
        <v>0.22121588219962443</v>
      </c>
      <c r="R74" s="48">
        <f t="shared" si="18"/>
        <v>0.2517888244867325</v>
      </c>
      <c r="S74" s="49">
        <f t="shared" si="19"/>
        <v>-3.07648688191442E-07</v>
      </c>
      <c r="T74" s="49">
        <f t="shared" si="20"/>
        <v>1.1339505222197512</v>
      </c>
      <c r="U74" s="49">
        <f t="shared" si="21"/>
        <v>5.126033855054195</v>
      </c>
      <c r="V74" s="50">
        <f t="shared" si="22"/>
        <v>0.22121401346221942</v>
      </c>
      <c r="W74" s="313"/>
      <c r="X74" s="313"/>
      <c r="Y74" s="313"/>
      <c r="Z74" s="174"/>
      <c r="AA74" s="312"/>
    </row>
    <row r="75" spans="1:27" ht="14.25">
      <c r="A75" s="65">
        <v>23</v>
      </c>
      <c r="B75" s="45">
        <f t="shared" si="25"/>
        <v>0.412</v>
      </c>
      <c r="C75" s="46">
        <f t="shared" si="25"/>
        <v>0.01</v>
      </c>
      <c r="D75" s="46">
        <f t="shared" si="25"/>
        <v>0.15</v>
      </c>
      <c r="E75" s="46">
        <f t="shared" si="25"/>
        <v>4</v>
      </c>
      <c r="F75" s="46">
        <f t="shared" si="25"/>
        <v>2</v>
      </c>
      <c r="G75" s="47">
        <f t="shared" si="25"/>
        <v>2</v>
      </c>
      <c r="H75" s="48">
        <f t="shared" si="23"/>
        <v>0.25178644032478337</v>
      </c>
      <c r="I75" s="49">
        <f t="shared" si="10"/>
        <v>6.394708403856253E-06</v>
      </c>
      <c r="J75" s="49">
        <f t="shared" si="11"/>
        <v>1.133938584361985</v>
      </c>
      <c r="K75" s="49">
        <f t="shared" si="12"/>
        <v>5.1260231927578195</v>
      </c>
      <c r="L75" s="50">
        <f t="shared" si="13"/>
        <v>0.22121214472147593</v>
      </c>
      <c r="M75" s="48">
        <f t="shared" si="24"/>
        <v>0.2517888244867325</v>
      </c>
      <c r="N75" s="49">
        <f t="shared" si="14"/>
        <v>-3.07648688191442E-07</v>
      </c>
      <c r="O75" s="49">
        <f t="shared" si="15"/>
        <v>1.1339505222197512</v>
      </c>
      <c r="P75" s="49">
        <f t="shared" si="16"/>
        <v>5.126033855054195</v>
      </c>
      <c r="Q75" s="50">
        <f t="shared" si="17"/>
        <v>0.22121401346221942</v>
      </c>
      <c r="R75" s="48">
        <f t="shared" si="18"/>
        <v>0.25178763240575797</v>
      </c>
      <c r="S75" s="49">
        <f t="shared" si="19"/>
        <v>3.0435357012970066E-06</v>
      </c>
      <c r="T75" s="49">
        <f t="shared" si="20"/>
        <v>1.1339445532880261</v>
      </c>
      <c r="U75" s="49">
        <f t="shared" si="21"/>
        <v>5.126028523906007</v>
      </c>
      <c r="V75" s="50">
        <f t="shared" si="22"/>
        <v>0.22121307909226504</v>
      </c>
      <c r="W75" s="313"/>
      <c r="X75" s="313"/>
      <c r="Y75" s="313"/>
      <c r="Z75" s="174"/>
      <c r="AA75" s="312"/>
    </row>
    <row r="76" spans="1:27" ht="14.25">
      <c r="A76" s="65">
        <v>24</v>
      </c>
      <c r="B76" s="45">
        <f t="shared" si="25"/>
        <v>0.412</v>
      </c>
      <c r="C76" s="46">
        <f t="shared" si="25"/>
        <v>0.01</v>
      </c>
      <c r="D76" s="46">
        <f t="shared" si="25"/>
        <v>0.15</v>
      </c>
      <c r="E76" s="46">
        <f t="shared" si="25"/>
        <v>4</v>
      </c>
      <c r="F76" s="46">
        <f t="shared" si="25"/>
        <v>2</v>
      </c>
      <c r="G76" s="47">
        <f t="shared" si="25"/>
        <v>2</v>
      </c>
      <c r="H76" s="48">
        <f t="shared" si="23"/>
        <v>0.25178763240575797</v>
      </c>
      <c r="I76" s="49">
        <f t="shared" si="10"/>
        <v>3.0435357012970066E-06</v>
      </c>
      <c r="J76" s="49">
        <f t="shared" si="11"/>
        <v>1.1339445532880261</v>
      </c>
      <c r="K76" s="49">
        <f t="shared" si="12"/>
        <v>5.126028523906007</v>
      </c>
      <c r="L76" s="50">
        <f t="shared" si="13"/>
        <v>0.22121307909226504</v>
      </c>
      <c r="M76" s="48">
        <f t="shared" si="24"/>
        <v>0.2517888244867325</v>
      </c>
      <c r="N76" s="49">
        <f t="shared" si="14"/>
        <v>-3.07648688191442E-07</v>
      </c>
      <c r="O76" s="49">
        <f t="shared" si="15"/>
        <v>1.1339505222197512</v>
      </c>
      <c r="P76" s="49">
        <f t="shared" si="16"/>
        <v>5.126033855054195</v>
      </c>
      <c r="Q76" s="50">
        <f t="shared" si="17"/>
        <v>0.22121401346221942</v>
      </c>
      <c r="R76" s="48">
        <f t="shared" si="18"/>
        <v>0.25178822844624527</v>
      </c>
      <c r="S76" s="49">
        <f t="shared" si="19"/>
        <v>1.3679449674675048E-06</v>
      </c>
      <c r="T76" s="49">
        <f t="shared" si="20"/>
        <v>1.1339475377531782</v>
      </c>
      <c r="U76" s="49">
        <f t="shared" si="21"/>
        <v>5.126031189480101</v>
      </c>
      <c r="V76" s="50">
        <f t="shared" si="22"/>
        <v>0.22121354627734657</v>
      </c>
      <c r="W76" s="313"/>
      <c r="X76" s="313"/>
      <c r="Y76" s="313"/>
      <c r="Z76" s="174"/>
      <c r="AA76" s="312"/>
    </row>
    <row r="77" spans="1:27" ht="14.25">
      <c r="A77" s="65">
        <v>25</v>
      </c>
      <c r="B77" s="45">
        <f t="shared" si="25"/>
        <v>0.412</v>
      </c>
      <c r="C77" s="46">
        <f t="shared" si="25"/>
        <v>0.01</v>
      </c>
      <c r="D77" s="46">
        <f t="shared" si="25"/>
        <v>0.15</v>
      </c>
      <c r="E77" s="46">
        <f t="shared" si="25"/>
        <v>4</v>
      </c>
      <c r="F77" s="46">
        <f t="shared" si="25"/>
        <v>2</v>
      </c>
      <c r="G77" s="47">
        <f t="shared" si="25"/>
        <v>2</v>
      </c>
      <c r="H77" s="48">
        <f t="shared" si="23"/>
        <v>0.25178822844624527</v>
      </c>
      <c r="I77" s="49">
        <f t="shared" si="10"/>
        <v>1.3679449674675048E-06</v>
      </c>
      <c r="J77" s="49">
        <f t="shared" si="11"/>
        <v>1.1339475377531782</v>
      </c>
      <c r="K77" s="49">
        <f t="shared" si="12"/>
        <v>5.126031189480101</v>
      </c>
      <c r="L77" s="50">
        <f t="shared" si="13"/>
        <v>0.22121354627734657</v>
      </c>
      <c r="M77" s="48">
        <f t="shared" si="24"/>
        <v>0.2517888244867325</v>
      </c>
      <c r="N77" s="49">
        <f t="shared" si="14"/>
        <v>-3.07648688191442E-07</v>
      </c>
      <c r="O77" s="49">
        <f t="shared" si="15"/>
        <v>1.1339505222197512</v>
      </c>
      <c r="P77" s="49">
        <f t="shared" si="16"/>
        <v>5.126033855054195</v>
      </c>
      <c r="Q77" s="50">
        <f t="shared" si="17"/>
        <v>0.22121401346221942</v>
      </c>
      <c r="R77" s="48">
        <f t="shared" si="18"/>
        <v>0.25178852646648886</v>
      </c>
      <c r="S77" s="49">
        <f t="shared" si="19"/>
        <v>5.301485049846733E-07</v>
      </c>
      <c r="T77" s="49">
        <f t="shared" si="20"/>
        <v>1.1339490299862869</v>
      </c>
      <c r="U77" s="49">
        <f t="shared" si="21"/>
        <v>5.126032522267148</v>
      </c>
      <c r="V77" s="50">
        <f t="shared" si="22"/>
        <v>0.22121377986980903</v>
      </c>
      <c r="W77" s="313"/>
      <c r="X77" s="313"/>
      <c r="Y77" s="313"/>
      <c r="Z77" s="174"/>
      <c r="AA77" s="312"/>
    </row>
    <row r="78" spans="1:27" ht="15" thickBot="1">
      <c r="A78" s="65">
        <v>26</v>
      </c>
      <c r="B78" s="45">
        <f t="shared" si="25"/>
        <v>0.412</v>
      </c>
      <c r="C78" s="46">
        <f t="shared" si="25"/>
        <v>0.01</v>
      </c>
      <c r="D78" s="46">
        <f t="shared" si="25"/>
        <v>0.15</v>
      </c>
      <c r="E78" s="46">
        <f t="shared" si="25"/>
        <v>4</v>
      </c>
      <c r="F78" s="46">
        <f t="shared" si="25"/>
        <v>2</v>
      </c>
      <c r="G78" s="47">
        <f t="shared" si="25"/>
        <v>2</v>
      </c>
      <c r="H78" s="48">
        <f t="shared" si="23"/>
        <v>0.25178852646648886</v>
      </c>
      <c r="I78" s="49">
        <f t="shared" si="10"/>
        <v>5.301485049846733E-07</v>
      </c>
      <c r="J78" s="49">
        <f t="shared" si="11"/>
        <v>1.1339490299862869</v>
      </c>
      <c r="K78" s="49">
        <f t="shared" si="12"/>
        <v>5.126032522267148</v>
      </c>
      <c r="L78" s="50">
        <f t="shared" si="13"/>
        <v>0.22121377986980903</v>
      </c>
      <c r="M78" s="48">
        <f t="shared" si="24"/>
        <v>0.2517888244867325</v>
      </c>
      <c r="N78" s="49">
        <f t="shared" si="14"/>
        <v>-3.07648688191442E-07</v>
      </c>
      <c r="O78" s="49">
        <f t="shared" si="15"/>
        <v>1.1339505222197512</v>
      </c>
      <c r="P78" s="49">
        <f t="shared" si="16"/>
        <v>5.126033855054195</v>
      </c>
      <c r="Q78" s="50">
        <f t="shared" si="17"/>
        <v>0.22121401346221942</v>
      </c>
      <c r="R78" s="48">
        <f t="shared" si="18"/>
        <v>0.25178867547661066</v>
      </c>
      <c r="S78" s="49">
        <f t="shared" si="19"/>
        <v>1.1124999971245941E-07</v>
      </c>
      <c r="T78" s="49">
        <f t="shared" si="20"/>
        <v>1.1339497761029746</v>
      </c>
      <c r="U78" s="49">
        <f t="shared" si="21"/>
        <v>5.126033188660672</v>
      </c>
      <c r="V78" s="50">
        <f t="shared" si="22"/>
        <v>0.22121389666602076</v>
      </c>
      <c r="W78" s="313"/>
      <c r="X78" s="313"/>
      <c r="Y78" s="313"/>
      <c r="Z78" s="174"/>
      <c r="AA78" s="312"/>
    </row>
    <row r="79" spans="1:27" ht="15.75" customHeight="1" thickTop="1">
      <c r="A79" s="65">
        <v>27</v>
      </c>
      <c r="B79" s="45">
        <f t="shared" si="25"/>
        <v>0.412</v>
      </c>
      <c r="C79" s="46">
        <f t="shared" si="25"/>
        <v>0.01</v>
      </c>
      <c r="D79" s="46">
        <f t="shared" si="25"/>
        <v>0.15</v>
      </c>
      <c r="E79" s="46">
        <f t="shared" si="25"/>
        <v>4</v>
      </c>
      <c r="F79" s="46">
        <f t="shared" si="25"/>
        <v>2</v>
      </c>
      <c r="G79" s="47">
        <f t="shared" si="25"/>
        <v>2</v>
      </c>
      <c r="H79" s="48">
        <f t="shared" si="23"/>
        <v>0.25178867547661066</v>
      </c>
      <c r="I79" s="49">
        <f t="shared" si="10"/>
        <v>1.1124999971245941E-07</v>
      </c>
      <c r="J79" s="49">
        <f t="shared" si="11"/>
        <v>1.1339497761029746</v>
      </c>
      <c r="K79" s="49">
        <f t="shared" si="12"/>
        <v>5.126033188660672</v>
      </c>
      <c r="L79" s="50">
        <f t="shared" si="13"/>
        <v>0.22121389666602076</v>
      </c>
      <c r="M79" s="48">
        <f t="shared" si="24"/>
        <v>0.2517888244867325</v>
      </c>
      <c r="N79" s="49">
        <f t="shared" si="14"/>
        <v>-3.07648688191442E-07</v>
      </c>
      <c r="O79" s="49">
        <f t="shared" si="15"/>
        <v>1.1339505222197512</v>
      </c>
      <c r="P79" s="49">
        <f t="shared" si="16"/>
        <v>5.126033855054195</v>
      </c>
      <c r="Q79" s="50">
        <f t="shared" si="17"/>
        <v>0.22121401346221942</v>
      </c>
      <c r="R79" s="48">
        <f t="shared" si="18"/>
        <v>0.25178874998167156</v>
      </c>
      <c r="S79" s="49">
        <f t="shared" si="19"/>
        <v>-9.819932128563025E-08</v>
      </c>
      <c r="T79" s="49">
        <f t="shared" si="20"/>
        <v>1.1339501491613517</v>
      </c>
      <c r="U79" s="49">
        <f t="shared" si="21"/>
        <v>5.126033521857433</v>
      </c>
      <c r="V79" s="49">
        <f t="shared" si="22"/>
        <v>0.2212139550641217</v>
      </c>
      <c r="W79" s="374" t="s">
        <v>85</v>
      </c>
      <c r="X79" s="375"/>
      <c r="Y79" s="375"/>
      <c r="Z79" s="376"/>
      <c r="AA79" s="312"/>
    </row>
    <row r="80" spans="1:27" ht="14.25">
      <c r="A80" s="65">
        <v>28</v>
      </c>
      <c r="B80" s="45">
        <f t="shared" si="25"/>
        <v>0.412</v>
      </c>
      <c r="C80" s="46">
        <f t="shared" si="25"/>
        <v>0.01</v>
      </c>
      <c r="D80" s="46">
        <f t="shared" si="25"/>
        <v>0.15</v>
      </c>
      <c r="E80" s="46">
        <f t="shared" si="25"/>
        <v>4</v>
      </c>
      <c r="F80" s="46">
        <f t="shared" si="25"/>
        <v>2</v>
      </c>
      <c r="G80" s="47">
        <f t="shared" si="25"/>
        <v>2</v>
      </c>
      <c r="H80" s="48">
        <f t="shared" si="23"/>
        <v>0.25178867547661066</v>
      </c>
      <c r="I80" s="49">
        <f t="shared" si="10"/>
        <v>1.1124999971245941E-07</v>
      </c>
      <c r="J80" s="49">
        <f t="shared" si="11"/>
        <v>1.1339497761029746</v>
      </c>
      <c r="K80" s="49">
        <f t="shared" si="12"/>
        <v>5.126033188660672</v>
      </c>
      <c r="L80" s="50">
        <f t="shared" si="13"/>
        <v>0.22121389666602076</v>
      </c>
      <c r="M80" s="48">
        <f t="shared" si="24"/>
        <v>0.25178874998167156</v>
      </c>
      <c r="N80" s="49">
        <f t="shared" si="14"/>
        <v>-9.819932128563025E-08</v>
      </c>
      <c r="O80" s="49">
        <f t="shared" si="15"/>
        <v>1.1339501491613517</v>
      </c>
      <c r="P80" s="49">
        <f t="shared" si="16"/>
        <v>5.126033521857433</v>
      </c>
      <c r="Q80" s="50">
        <f t="shared" si="17"/>
        <v>0.2212139550641217</v>
      </c>
      <c r="R80" s="48">
        <f t="shared" si="18"/>
        <v>0.2517887127291411</v>
      </c>
      <c r="S80" s="49">
        <f t="shared" si="19"/>
        <v>6.525344986574311E-09</v>
      </c>
      <c r="T80" s="49">
        <f t="shared" si="20"/>
        <v>1.1339499626321603</v>
      </c>
      <c r="U80" s="49">
        <f t="shared" si="21"/>
        <v>5.126033355259052</v>
      </c>
      <c r="V80" s="49">
        <f t="shared" si="22"/>
        <v>0.22121392586507163</v>
      </c>
      <c r="W80" s="318"/>
      <c r="X80" s="313"/>
      <c r="Y80" s="313"/>
      <c r="Z80" s="312"/>
      <c r="AA80" s="312"/>
    </row>
    <row r="81" spans="1:27" ht="14.25">
      <c r="A81" s="66">
        <v>29</v>
      </c>
      <c r="B81" s="45">
        <f t="shared" si="25"/>
        <v>0.412</v>
      </c>
      <c r="C81" s="46">
        <f t="shared" si="25"/>
        <v>0.01</v>
      </c>
      <c r="D81" s="46">
        <f t="shared" si="25"/>
        <v>0.15</v>
      </c>
      <c r="E81" s="46">
        <f t="shared" si="25"/>
        <v>4</v>
      </c>
      <c r="F81" s="46">
        <f t="shared" si="25"/>
        <v>2</v>
      </c>
      <c r="G81" s="47">
        <f t="shared" si="25"/>
        <v>2</v>
      </c>
      <c r="H81" s="48">
        <f t="shared" si="23"/>
        <v>0.2517887127291411</v>
      </c>
      <c r="I81" s="49">
        <f t="shared" si="10"/>
        <v>6.525344986574311E-09</v>
      </c>
      <c r="J81" s="49">
        <f t="shared" si="11"/>
        <v>1.1339499626321603</v>
      </c>
      <c r="K81" s="49">
        <f t="shared" si="12"/>
        <v>5.126033355259052</v>
      </c>
      <c r="L81" s="50">
        <f t="shared" si="13"/>
        <v>0.22121392586507163</v>
      </c>
      <c r="M81" s="48">
        <f t="shared" si="24"/>
        <v>0.25178874998167156</v>
      </c>
      <c r="N81" s="49">
        <f t="shared" si="14"/>
        <v>-9.819932128563025E-08</v>
      </c>
      <c r="O81" s="49">
        <f t="shared" si="15"/>
        <v>1.1339501491613517</v>
      </c>
      <c r="P81" s="49">
        <f t="shared" si="16"/>
        <v>5.126033521857433</v>
      </c>
      <c r="Q81" s="50">
        <f t="shared" si="17"/>
        <v>0.2212139550641217</v>
      </c>
      <c r="R81" s="48">
        <f t="shared" si="18"/>
        <v>0.25178873135540636</v>
      </c>
      <c r="S81" s="49">
        <f t="shared" si="19"/>
        <v>-4.583698681726034E-08</v>
      </c>
      <c r="T81" s="49">
        <f t="shared" si="20"/>
        <v>1.1339500558967555</v>
      </c>
      <c r="U81" s="49">
        <f t="shared" si="21"/>
        <v>5.126033438558243</v>
      </c>
      <c r="V81" s="49">
        <f t="shared" si="22"/>
        <v>0.2212139404645968</v>
      </c>
      <c r="W81" s="318"/>
      <c r="X81" s="68" t="s">
        <v>72</v>
      </c>
      <c r="Y81" s="69" t="s">
        <v>31</v>
      </c>
      <c r="Z81" s="312"/>
      <c r="AA81" s="312"/>
    </row>
    <row r="82" spans="1:27" ht="13.5" thickBot="1">
      <c r="A82" s="67">
        <v>30</v>
      </c>
      <c r="B82" s="34">
        <f t="shared" si="25"/>
        <v>0.412</v>
      </c>
      <c r="C82" s="35">
        <f t="shared" si="25"/>
        <v>0.01</v>
      </c>
      <c r="D82" s="35">
        <f t="shared" si="25"/>
        <v>0.15</v>
      </c>
      <c r="E82" s="35">
        <f t="shared" si="25"/>
        <v>4</v>
      </c>
      <c r="F82" s="35">
        <f t="shared" si="25"/>
        <v>2</v>
      </c>
      <c r="G82" s="36">
        <f t="shared" si="25"/>
        <v>2</v>
      </c>
      <c r="H82" s="37">
        <f t="shared" si="23"/>
        <v>0.2517887127291411</v>
      </c>
      <c r="I82" s="85">
        <f t="shared" si="10"/>
        <v>6.525344986574311E-09</v>
      </c>
      <c r="J82" s="38">
        <f t="shared" si="11"/>
        <v>1.1339499626321603</v>
      </c>
      <c r="K82" s="38">
        <f t="shared" si="12"/>
        <v>5.126033355259052</v>
      </c>
      <c r="L82" s="39">
        <f t="shared" si="13"/>
        <v>0.22121392586507163</v>
      </c>
      <c r="M82" s="37">
        <f t="shared" si="24"/>
        <v>0.25178873135540636</v>
      </c>
      <c r="N82" s="85">
        <f t="shared" si="14"/>
        <v>-4.583698681726034E-08</v>
      </c>
      <c r="O82" s="38">
        <f t="shared" si="15"/>
        <v>1.1339500558967555</v>
      </c>
      <c r="P82" s="38">
        <f t="shared" si="16"/>
        <v>5.126033438558243</v>
      </c>
      <c r="Q82" s="39">
        <f t="shared" si="17"/>
        <v>0.2212139404645968</v>
      </c>
      <c r="R82" s="37">
        <f t="shared" si="18"/>
        <v>0.25178872204227376</v>
      </c>
      <c r="S82" s="85">
        <f t="shared" si="19"/>
        <v>-1.965582069329841E-08</v>
      </c>
      <c r="T82" s="38">
        <f t="shared" si="20"/>
        <v>1.1339500092644579</v>
      </c>
      <c r="U82" s="38">
        <f t="shared" si="21"/>
        <v>5.126033396908648</v>
      </c>
      <c r="V82" s="38">
        <f t="shared" si="22"/>
        <v>0.22121393316483426</v>
      </c>
      <c r="W82" s="42" t="s">
        <v>73</v>
      </c>
      <c r="X82" s="70">
        <f>R82</f>
        <v>0.25178872204227376</v>
      </c>
      <c r="Y82" s="83">
        <f>B82/T82</f>
        <v>0.36333171359753835</v>
      </c>
      <c r="Z82" s="312"/>
      <c r="AA82" s="312"/>
    </row>
    <row r="83" spans="1:27" ht="15" thickBot="1">
      <c r="A83" s="318"/>
      <c r="B83" s="313"/>
      <c r="C83" s="313"/>
      <c r="D83" s="313"/>
      <c r="E83" s="313"/>
      <c r="F83" s="313"/>
      <c r="G83" s="313"/>
      <c r="H83" s="313"/>
      <c r="I83" s="313" t="s">
        <v>88</v>
      </c>
      <c r="J83" s="313"/>
      <c r="K83" s="313"/>
      <c r="L83" s="313"/>
      <c r="M83" s="313"/>
      <c r="N83" s="313"/>
      <c r="O83" s="313"/>
      <c r="P83" s="313"/>
      <c r="Q83" s="313"/>
      <c r="R83" s="313"/>
      <c r="S83" s="313"/>
      <c r="T83" s="313"/>
      <c r="U83" s="313"/>
      <c r="V83" s="313"/>
      <c r="W83" s="43" t="s">
        <v>74</v>
      </c>
      <c r="X83" s="84">
        <f>X82*12</f>
        <v>3.021464664507285</v>
      </c>
      <c r="Y83" s="319"/>
      <c r="Z83" s="320"/>
      <c r="AA83" s="312"/>
    </row>
    <row r="84" spans="1:27" ht="14.25" thickBot="1" thickTop="1">
      <c r="A84" s="321"/>
      <c r="B84" s="322"/>
      <c r="C84" s="322"/>
      <c r="D84" s="322"/>
      <c r="E84" s="323"/>
      <c r="F84" s="323"/>
      <c r="G84" s="323"/>
      <c r="H84" s="323"/>
      <c r="I84" s="323"/>
      <c r="J84" s="323"/>
      <c r="K84" s="323"/>
      <c r="L84" s="323"/>
      <c r="M84" s="323"/>
      <c r="N84" s="323"/>
      <c r="O84" s="323"/>
      <c r="P84" s="323"/>
      <c r="Q84" s="323"/>
      <c r="R84" s="323"/>
      <c r="S84" s="323"/>
      <c r="T84" s="323"/>
      <c r="U84" s="323"/>
      <c r="V84" s="322"/>
      <c r="W84" s="322"/>
      <c r="X84" s="322"/>
      <c r="Y84" s="322"/>
      <c r="Z84" s="322"/>
      <c r="AA84" s="320"/>
    </row>
    <row r="85" ht="13.5" thickTop="1"/>
  </sheetData>
  <sheetProtection/>
  <mergeCells count="17">
    <mergeCell ref="B23:L23"/>
    <mergeCell ref="I3:M3"/>
    <mergeCell ref="S3:Y3"/>
    <mergeCell ref="B30:L30"/>
    <mergeCell ref="B29:L29"/>
    <mergeCell ref="B28:L28"/>
    <mergeCell ref="B27:L27"/>
    <mergeCell ref="W79:Z79"/>
    <mergeCell ref="A1:Q1"/>
    <mergeCell ref="N3:Q3"/>
    <mergeCell ref="F3:H3"/>
    <mergeCell ref="A3:E3"/>
    <mergeCell ref="B22:L22"/>
    <mergeCell ref="A19:E19"/>
    <mergeCell ref="B26:L26"/>
    <mergeCell ref="B25:L25"/>
    <mergeCell ref="B24:L24"/>
  </mergeCells>
  <dataValidations count="2">
    <dataValidation type="list" allowBlank="1" showInputMessage="1" showErrorMessage="1" sqref="M22:M30">
      <formula1>YesNo</formula1>
    </dataValidation>
    <dataValidation type="list" allowBlank="1" showInputMessage="1" showErrorMessage="1" sqref="E5:E14">
      <formula1>Side</formula1>
    </dataValidation>
  </dataValidations>
  <printOptions/>
  <pageMargins left="0.75" right="0.75" top="1" bottom="1" header="0.5" footer="0.5"/>
  <pageSetup fitToHeight="1" fitToWidth="1" horizontalDpi="600" verticalDpi="600" orientation="landscape" scale="79" r:id="rId2"/>
  <headerFooter alignWithMargins="0">
    <oddHeader>&amp;L&amp;G&amp;C&amp;"Garamond,Bold"&amp;14&amp;K009969Ohio Department of Transportation - Office of Hydraulic Engineering&amp;"Arial,Bold"&amp;10&amp;K000000
&amp;11Post-Construction BMP Calculation Spreadsheet</oddHeader>
    <oddFooter>&amp;RSpreadsheet Template
Updated January 2019</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M48"/>
  <sheetViews>
    <sheetView zoomScale="85" zoomScaleNormal="85" workbookViewId="0" topLeftCell="A1">
      <selection activeCell="A1" sqref="A1:D1"/>
    </sheetView>
  </sheetViews>
  <sheetFormatPr defaultColWidth="9.140625" defaultRowHeight="12.75"/>
  <cols>
    <col min="1" max="1" width="16.421875" style="20" customWidth="1"/>
    <col min="2" max="2" width="23.421875" style="20" customWidth="1"/>
    <col min="3" max="5" width="22.140625" style="20" customWidth="1"/>
    <col min="6" max="6" width="22.140625" style="88" customWidth="1"/>
    <col min="7" max="10" width="22.140625" style="292" customWidth="1"/>
    <col min="11" max="16384" width="9.140625" style="20" customWidth="1"/>
  </cols>
  <sheetData>
    <row r="1" spans="1:10" ht="24" customHeight="1">
      <c r="A1" s="368" t="s">
        <v>248</v>
      </c>
      <c r="B1" s="368"/>
      <c r="C1" s="368"/>
      <c r="D1" s="368"/>
      <c r="E1" s="305"/>
      <c r="F1" s="347"/>
      <c r="G1" s="305"/>
      <c r="H1" s="305"/>
      <c r="I1" s="305"/>
      <c r="J1" s="305"/>
    </row>
    <row r="2" spans="1:10" ht="13.5" thickBot="1">
      <c r="A2" s="13"/>
      <c r="B2" s="13"/>
      <c r="C2" s="13"/>
      <c r="D2" s="13"/>
      <c r="E2" s="13"/>
      <c r="F2" s="347"/>
      <c r="G2" s="13"/>
      <c r="H2" s="13"/>
      <c r="I2" s="13"/>
      <c r="J2" s="13"/>
    </row>
    <row r="3" spans="1:10" ht="43.5" customHeight="1" thickBot="1">
      <c r="A3" s="256" t="s">
        <v>6</v>
      </c>
      <c r="B3" s="258" t="s">
        <v>94</v>
      </c>
      <c r="C3" s="258" t="s">
        <v>150</v>
      </c>
      <c r="D3" s="259" t="s">
        <v>93</v>
      </c>
      <c r="G3" s="20"/>
      <c r="H3" s="20"/>
      <c r="I3" s="20"/>
      <c r="J3" s="20"/>
    </row>
    <row r="4" spans="1:10" ht="13.5" thickTop="1">
      <c r="A4" s="91" t="s">
        <v>148</v>
      </c>
      <c r="B4" s="93">
        <v>7.5</v>
      </c>
      <c r="C4" s="93">
        <v>7.2</v>
      </c>
      <c r="D4" s="182">
        <v>0.42</v>
      </c>
      <c r="G4" s="20"/>
      <c r="H4" s="20"/>
      <c r="I4" s="20"/>
      <c r="J4" s="20"/>
    </row>
    <row r="5" spans="1:10" ht="12.75">
      <c r="A5" s="293"/>
      <c r="B5" s="293"/>
      <c r="C5" s="293"/>
      <c r="D5" s="293"/>
      <c r="E5" s="293"/>
      <c r="F5" s="148"/>
      <c r="G5" s="294"/>
      <c r="H5" s="294"/>
      <c r="I5" s="294"/>
      <c r="J5" s="294"/>
    </row>
    <row r="6" spans="1:10" ht="12.75">
      <c r="A6" s="369" t="s">
        <v>22</v>
      </c>
      <c r="B6" s="369"/>
      <c r="C6" s="369"/>
      <c r="D6" s="369"/>
      <c r="E6" s="21"/>
      <c r="F6" s="348"/>
      <c r="G6" s="21"/>
      <c r="H6" s="21"/>
      <c r="I6" s="21"/>
      <c r="J6" s="21"/>
    </row>
    <row r="7" spans="1:10" ht="14.25">
      <c r="A7" s="293"/>
      <c r="B7" s="293"/>
      <c r="C7" s="293"/>
      <c r="D7" s="108" t="s">
        <v>318</v>
      </c>
      <c r="E7" s="303"/>
      <c r="F7" s="148"/>
      <c r="G7" s="294"/>
      <c r="H7" s="294"/>
      <c r="I7" s="294"/>
      <c r="J7" s="294"/>
    </row>
    <row r="8" spans="1:11" ht="12.75">
      <c r="A8" s="293"/>
      <c r="B8" s="293"/>
      <c r="C8" s="153">
        <f>SUM(C4:C4)</f>
        <v>7.2</v>
      </c>
      <c r="D8" s="102" t="s">
        <v>99</v>
      </c>
      <c r="H8" s="109"/>
      <c r="I8" s="109"/>
      <c r="J8" s="109"/>
      <c r="K8" s="109"/>
    </row>
    <row r="9" spans="1:13" ht="12.75">
      <c r="A9" s="293"/>
      <c r="B9" s="293"/>
      <c r="C9" s="96" t="s">
        <v>151</v>
      </c>
      <c r="H9" s="20"/>
      <c r="I9" s="24"/>
      <c r="L9" s="24"/>
      <c r="M9" s="24"/>
    </row>
    <row r="10" spans="1:10" ht="13.5" thickBot="1">
      <c r="A10" s="293"/>
      <c r="B10" s="293"/>
      <c r="C10" s="293"/>
      <c r="D10" s="293"/>
      <c r="E10" s="293"/>
      <c r="F10" s="148"/>
      <c r="G10" s="294"/>
      <c r="H10" s="294"/>
      <c r="I10" s="294"/>
      <c r="J10" s="294"/>
    </row>
    <row r="11" spans="1:10" ht="13.5" customHeight="1">
      <c r="A11" s="110"/>
      <c r="B11" s="12"/>
      <c r="C11" s="391" t="s">
        <v>152</v>
      </c>
      <c r="D11" s="392"/>
      <c r="E11" s="293"/>
      <c r="F11" s="148"/>
      <c r="G11" s="294"/>
      <c r="H11" s="294"/>
      <c r="I11" s="294"/>
      <c r="J11" s="294"/>
    </row>
    <row r="12" spans="1:10" ht="13.5" thickBot="1">
      <c r="A12" s="293"/>
      <c r="B12" s="293"/>
      <c r="C12" s="111" t="s">
        <v>163</v>
      </c>
      <c r="D12" s="112" t="s">
        <v>164</v>
      </c>
      <c r="E12" s="293"/>
      <c r="F12" s="148"/>
      <c r="G12" s="294"/>
      <c r="H12" s="294"/>
      <c r="I12" s="294"/>
      <c r="J12" s="294"/>
    </row>
    <row r="13" spans="1:10" ht="15.75">
      <c r="A13" s="324"/>
      <c r="B13" s="117" t="s">
        <v>157</v>
      </c>
      <c r="C13" s="138">
        <f>D4</f>
        <v>0.42</v>
      </c>
      <c r="D13" s="112" t="s">
        <v>161</v>
      </c>
      <c r="E13" s="293"/>
      <c r="F13" s="148"/>
      <c r="G13" s="294"/>
      <c r="H13" s="294"/>
      <c r="I13" s="294"/>
      <c r="J13" s="294"/>
    </row>
    <row r="14" spans="1:10" ht="13.5" customHeight="1">
      <c r="A14" s="325"/>
      <c r="B14" s="118" t="s">
        <v>153</v>
      </c>
      <c r="C14" s="113" t="s">
        <v>154</v>
      </c>
      <c r="D14" s="326" t="s">
        <v>249</v>
      </c>
      <c r="E14" s="293"/>
      <c r="F14" s="148"/>
      <c r="G14" s="294"/>
      <c r="H14" s="294"/>
      <c r="I14" s="294"/>
      <c r="J14" s="294"/>
    </row>
    <row r="15" spans="1:10" ht="15.75">
      <c r="A15" s="325"/>
      <c r="B15" s="118" t="s">
        <v>401</v>
      </c>
      <c r="C15" s="138">
        <f>IF(C14="Detention",C13,IF(C14="Retention",C13*0.75,""))</f>
        <v>0.42</v>
      </c>
      <c r="D15" s="112" t="s">
        <v>161</v>
      </c>
      <c r="E15" s="293"/>
      <c r="F15" s="148"/>
      <c r="G15" s="294"/>
      <c r="H15" s="294"/>
      <c r="I15" s="294"/>
      <c r="J15" s="294"/>
    </row>
    <row r="16" spans="1:10" ht="15.75">
      <c r="A16" s="325"/>
      <c r="B16" s="118" t="s">
        <v>417</v>
      </c>
      <c r="C16" s="113">
        <v>0.422</v>
      </c>
      <c r="D16" s="327" t="str">
        <f>IF(C16="","Requires Input",IF(C16&lt;C15,"EDV TOO LOW","GOOD"))</f>
        <v>GOOD</v>
      </c>
      <c r="E16" s="293"/>
      <c r="F16" s="148"/>
      <c r="G16" s="294"/>
      <c r="H16" s="294"/>
      <c r="I16" s="294"/>
      <c r="J16" s="294"/>
    </row>
    <row r="17" spans="1:10" ht="15.75">
      <c r="A17" s="325"/>
      <c r="B17" s="118" t="s">
        <v>402</v>
      </c>
      <c r="C17" s="139">
        <f>IF(C14="Detention",48,IF(C14="Retention",24,""))</f>
        <v>48</v>
      </c>
      <c r="D17" s="112" t="s">
        <v>162</v>
      </c>
      <c r="E17" s="293"/>
      <c r="F17" s="148"/>
      <c r="G17" s="294"/>
      <c r="H17" s="294"/>
      <c r="I17" s="294"/>
      <c r="J17" s="294"/>
    </row>
    <row r="18" spans="1:10" ht="15.75">
      <c r="A18" s="325"/>
      <c r="B18" s="118" t="s">
        <v>397</v>
      </c>
      <c r="C18" s="113">
        <v>60</v>
      </c>
      <c r="D18" s="327" t="str">
        <f>IF(C18="","Requires Input",IF(C18&lt;C17,"DRAINS TOO QUICKLY","GOOD"))</f>
        <v>GOOD</v>
      </c>
      <c r="E18" s="293"/>
      <c r="F18" s="148" t="s">
        <v>398</v>
      </c>
      <c r="G18" s="294"/>
      <c r="H18" s="294"/>
      <c r="I18" s="294"/>
      <c r="J18" s="294"/>
    </row>
    <row r="19" spans="1:10" ht="15.75">
      <c r="A19" s="328"/>
      <c r="B19" s="119" t="s">
        <v>400</v>
      </c>
      <c r="C19" s="138">
        <f>IF(C15="","",C15*0.5)</f>
        <v>0.21</v>
      </c>
      <c r="D19" s="114" t="s">
        <v>161</v>
      </c>
      <c r="E19" s="293"/>
      <c r="F19" s="148"/>
      <c r="G19" s="294"/>
      <c r="H19" s="294"/>
      <c r="I19" s="294"/>
      <c r="J19" s="294"/>
    </row>
    <row r="20" spans="1:10" ht="15.75">
      <c r="A20" s="325"/>
      <c r="B20" s="118" t="s">
        <v>403</v>
      </c>
      <c r="C20" s="139">
        <f>IF(C17="","",C17/3)</f>
        <v>16</v>
      </c>
      <c r="D20" s="112" t="s">
        <v>161</v>
      </c>
      <c r="E20" s="293"/>
      <c r="F20" s="148"/>
      <c r="G20" s="294"/>
      <c r="H20" s="294"/>
      <c r="I20" s="294"/>
      <c r="J20" s="294"/>
    </row>
    <row r="21" spans="1:10" ht="15.75">
      <c r="A21" s="325"/>
      <c r="B21" s="118" t="s">
        <v>399</v>
      </c>
      <c r="C21" s="113">
        <v>16</v>
      </c>
      <c r="D21" s="327" t="str">
        <f>IF(C21="","Requires Input",IF(C21&lt;C20,"DRAINS TOO QUICKLY","GOOD"))</f>
        <v>GOOD</v>
      </c>
      <c r="E21" s="293"/>
      <c r="F21" s="148"/>
      <c r="G21" s="294"/>
      <c r="H21" s="294"/>
      <c r="I21" s="294"/>
      <c r="J21" s="294"/>
    </row>
    <row r="22" spans="1:10" ht="14.25">
      <c r="A22" s="325"/>
      <c r="B22" s="118" t="s">
        <v>404</v>
      </c>
      <c r="C22" s="138">
        <f>IF(C13=0,"",C13*0.1)</f>
        <v>0.042</v>
      </c>
      <c r="D22" s="114" t="s">
        <v>161</v>
      </c>
      <c r="E22" s="293"/>
      <c r="F22" s="148"/>
      <c r="G22" s="294"/>
      <c r="H22" s="294"/>
      <c r="I22" s="294"/>
      <c r="J22" s="294"/>
    </row>
    <row r="23" spans="1:10" ht="12.75">
      <c r="A23" s="325"/>
      <c r="B23" s="118" t="s">
        <v>158</v>
      </c>
      <c r="C23" s="115">
        <v>0.0422</v>
      </c>
      <c r="D23" s="327" t="str">
        <f>IF(C14="Retention","Forebay not required",IF(C14="Detention",IF(C23="","Requires Input",IF(C23&lt;C22,"FOREBAY TOO SMALL","GOOD")),""))</f>
        <v>GOOD</v>
      </c>
      <c r="E23" s="293"/>
      <c r="F23" s="148"/>
      <c r="G23" s="294"/>
      <c r="H23" s="294"/>
      <c r="I23" s="294"/>
      <c r="J23" s="294"/>
    </row>
    <row r="24" spans="1:10" ht="12.75">
      <c r="A24" s="325"/>
      <c r="B24" s="118" t="s">
        <v>159</v>
      </c>
      <c r="C24" s="113">
        <v>0.045</v>
      </c>
      <c r="D24" s="327" t="str">
        <f>IF(C14="Retention","Micropool not required",IF(C14="Detention",IF(C24="","Requires Input",IF(C24&lt;C22,"MICROPOOL TOO SMALL","GOOD")),""))</f>
        <v>GOOD</v>
      </c>
      <c r="E24" s="293"/>
      <c r="F24" s="148"/>
      <c r="G24" s="294"/>
      <c r="H24" s="294"/>
      <c r="I24" s="294"/>
      <c r="J24" s="294"/>
    </row>
    <row r="25" spans="1:10" ht="14.25">
      <c r="A25" s="325"/>
      <c r="B25" s="118" t="s">
        <v>405</v>
      </c>
      <c r="C25" s="138">
        <f>IF(C14="Detention",0,IF(C14="Retention",C15,""))</f>
        <v>0</v>
      </c>
      <c r="D25" s="112" t="s">
        <v>161</v>
      </c>
      <c r="E25" s="293"/>
      <c r="F25" s="148"/>
      <c r="G25" s="294"/>
      <c r="H25" s="294"/>
      <c r="I25" s="294"/>
      <c r="J25" s="294"/>
    </row>
    <row r="26" spans="1:10" ht="13.5" thickBot="1">
      <c r="A26" s="329"/>
      <c r="B26" s="120" t="s">
        <v>160</v>
      </c>
      <c r="C26" s="116"/>
      <c r="D26" s="330" t="str">
        <f>IF(C14="Detention","Not required",IF(C14="Retention",IF(C26="","Input Required",IF(C26&lt;C25,"PERM. POND TOO SMALL","GOOD")),""))</f>
        <v>Not required</v>
      </c>
      <c r="E26" s="293"/>
      <c r="F26" s="148"/>
      <c r="G26" s="294"/>
      <c r="H26" s="294"/>
      <c r="I26" s="294"/>
      <c r="J26" s="294"/>
    </row>
    <row r="27" spans="1:10" ht="12.75">
      <c r="A27" s="293"/>
      <c r="B27" s="293"/>
      <c r="C27" s="293"/>
      <c r="D27" s="293"/>
      <c r="E27" s="293"/>
      <c r="F27" s="148"/>
      <c r="G27" s="294"/>
      <c r="H27" s="294"/>
      <c r="I27" s="294"/>
      <c r="J27" s="294"/>
    </row>
    <row r="28" spans="1:10" ht="12.75">
      <c r="A28" s="71" t="s">
        <v>75</v>
      </c>
      <c r="B28" s="72"/>
      <c r="C28" s="295" t="s">
        <v>166</v>
      </c>
      <c r="D28" s="296" t="s">
        <v>167</v>
      </c>
      <c r="E28" s="72"/>
      <c r="F28" s="349"/>
      <c r="G28" s="72"/>
      <c r="H28" s="72"/>
      <c r="I28" s="73"/>
      <c r="J28" s="72"/>
    </row>
    <row r="29" spans="1:10" ht="26.25" customHeight="1">
      <c r="A29" s="389" t="s">
        <v>236</v>
      </c>
      <c r="B29" s="390"/>
      <c r="C29" s="178" t="s">
        <v>8</v>
      </c>
      <c r="D29" s="184" t="str">
        <f>IF(C29="Yes","Good","CHECK DESIGN")</f>
        <v>Good</v>
      </c>
      <c r="G29" s="20"/>
      <c r="H29" s="20"/>
      <c r="I29" s="20"/>
      <c r="J29" s="20"/>
    </row>
    <row r="30" spans="1:10" ht="25.5" customHeight="1">
      <c r="A30" s="389" t="s">
        <v>237</v>
      </c>
      <c r="B30" s="390"/>
      <c r="C30" s="178" t="s">
        <v>8</v>
      </c>
      <c r="D30" s="184" t="str">
        <f aca="true" t="shared" si="0" ref="D30:D40">IF(C30="Yes","Good","CHECK DESIGN")</f>
        <v>Good</v>
      </c>
      <c r="G30" s="20"/>
      <c r="H30" s="20"/>
      <c r="I30" s="20"/>
      <c r="J30" s="20"/>
    </row>
    <row r="31" spans="1:10" ht="12.75">
      <c r="A31" s="389" t="s">
        <v>238</v>
      </c>
      <c r="B31" s="390"/>
      <c r="C31" s="178" t="s">
        <v>8</v>
      </c>
      <c r="D31" s="184" t="str">
        <f t="shared" si="0"/>
        <v>Good</v>
      </c>
      <c r="G31" s="20"/>
      <c r="H31" s="20"/>
      <c r="I31" s="20"/>
      <c r="J31" s="20"/>
    </row>
    <row r="32" spans="1:10" ht="26.25" customHeight="1">
      <c r="A32" s="389" t="s">
        <v>239</v>
      </c>
      <c r="B32" s="390"/>
      <c r="C32" s="178" t="s">
        <v>8</v>
      </c>
      <c r="D32" s="184" t="str">
        <f t="shared" si="0"/>
        <v>Good</v>
      </c>
      <c r="G32" s="20"/>
      <c r="H32" s="20"/>
      <c r="I32" s="20"/>
      <c r="J32" s="20"/>
    </row>
    <row r="33" spans="1:10" ht="26.25" customHeight="1">
      <c r="A33" s="389" t="s">
        <v>240</v>
      </c>
      <c r="B33" s="390"/>
      <c r="C33" s="178" t="s">
        <v>8</v>
      </c>
      <c r="D33" s="184" t="str">
        <f t="shared" si="0"/>
        <v>Good</v>
      </c>
      <c r="G33" s="20"/>
      <c r="H33" s="20"/>
      <c r="I33" s="20"/>
      <c r="J33" s="20"/>
    </row>
    <row r="34" spans="1:10" ht="41.25" customHeight="1">
      <c r="A34" s="389" t="s">
        <v>241</v>
      </c>
      <c r="B34" s="390"/>
      <c r="C34" s="178" t="s">
        <v>8</v>
      </c>
      <c r="D34" s="184" t="str">
        <f t="shared" si="0"/>
        <v>Good</v>
      </c>
      <c r="G34" s="20"/>
      <c r="H34" s="20"/>
      <c r="I34" s="20"/>
      <c r="J34" s="20"/>
    </row>
    <row r="35" spans="1:10" ht="12.75">
      <c r="A35" s="389" t="s">
        <v>242</v>
      </c>
      <c r="B35" s="390"/>
      <c r="C35" s="178" t="s">
        <v>8</v>
      </c>
      <c r="D35" s="184" t="str">
        <f t="shared" si="0"/>
        <v>Good</v>
      </c>
      <c r="G35" s="20"/>
      <c r="H35" s="20"/>
      <c r="I35" s="20"/>
      <c r="J35" s="20"/>
    </row>
    <row r="36" spans="1:10" ht="26.25" customHeight="1">
      <c r="A36" s="393" t="s">
        <v>243</v>
      </c>
      <c r="B36" s="394"/>
      <c r="C36" s="178" t="s">
        <v>8</v>
      </c>
      <c r="D36" s="184" t="str">
        <f t="shared" si="0"/>
        <v>Good</v>
      </c>
      <c r="G36" s="20"/>
      <c r="H36" s="20"/>
      <c r="I36" s="20"/>
      <c r="J36" s="20"/>
    </row>
    <row r="37" spans="1:10" ht="26.25" customHeight="1">
      <c r="A37" s="389" t="s">
        <v>244</v>
      </c>
      <c r="B37" s="390"/>
      <c r="C37" s="178" t="s">
        <v>8</v>
      </c>
      <c r="D37" s="184" t="str">
        <f t="shared" si="0"/>
        <v>Good</v>
      </c>
      <c r="G37" s="20"/>
      <c r="H37" s="20"/>
      <c r="I37" s="20"/>
      <c r="J37" s="20"/>
    </row>
    <row r="38" spans="1:10" ht="12.75">
      <c r="A38" s="370" t="s">
        <v>245</v>
      </c>
      <c r="B38" s="372"/>
      <c r="C38" s="178" t="s">
        <v>8</v>
      </c>
      <c r="D38" s="184" t="str">
        <f t="shared" si="0"/>
        <v>Good</v>
      </c>
      <c r="E38" s="292"/>
      <c r="F38" s="350"/>
      <c r="H38" s="20"/>
      <c r="I38" s="20"/>
      <c r="J38" s="20"/>
    </row>
    <row r="39" spans="1:10" ht="12.75">
      <c r="A39" s="370" t="s">
        <v>246</v>
      </c>
      <c r="B39" s="372"/>
      <c r="C39" s="178" t="s">
        <v>8</v>
      </c>
      <c r="D39" s="184" t="str">
        <f t="shared" si="0"/>
        <v>Good</v>
      </c>
      <c r="E39" s="292"/>
      <c r="F39" s="350"/>
      <c r="H39" s="20"/>
      <c r="I39" s="20"/>
      <c r="J39" s="20"/>
    </row>
    <row r="40" spans="1:10" ht="26.25" customHeight="1">
      <c r="A40" s="370" t="s">
        <v>247</v>
      </c>
      <c r="B40" s="372"/>
      <c r="C40" s="178" t="s">
        <v>8</v>
      </c>
      <c r="D40" s="184" t="str">
        <f t="shared" si="0"/>
        <v>Good</v>
      </c>
      <c r="E40" s="292"/>
      <c r="F40" s="350"/>
      <c r="H40" s="20"/>
      <c r="I40" s="20"/>
      <c r="J40" s="20"/>
    </row>
    <row r="41" spans="1:10" ht="12.75">
      <c r="A41" s="293"/>
      <c r="B41" s="293"/>
      <c r="C41" s="293"/>
      <c r="D41" s="293"/>
      <c r="E41" s="293"/>
      <c r="F41" s="148"/>
      <c r="G41" s="294"/>
      <c r="H41" s="294"/>
      <c r="I41" s="294"/>
      <c r="J41" s="294"/>
    </row>
    <row r="42" spans="1:10" ht="12.75">
      <c r="A42" s="88" t="s">
        <v>165</v>
      </c>
      <c r="C42" s="293"/>
      <c r="D42" s="293"/>
      <c r="E42" s="293"/>
      <c r="F42" s="148"/>
      <c r="G42" s="294"/>
      <c r="H42" s="294"/>
      <c r="I42" s="294"/>
      <c r="J42" s="294"/>
    </row>
    <row r="43" spans="1:10" ht="12.75">
      <c r="A43" s="82">
        <v>1</v>
      </c>
      <c r="B43" s="20" t="s">
        <v>187</v>
      </c>
      <c r="C43" s="293"/>
      <c r="D43" s="293"/>
      <c r="E43" s="293"/>
      <c r="F43" s="148"/>
      <c r="G43" s="294"/>
      <c r="H43" s="294"/>
      <c r="I43" s="294"/>
      <c r="J43" s="294"/>
    </row>
    <row r="44" spans="1:10" ht="15.75">
      <c r="A44" s="20">
        <v>2</v>
      </c>
      <c r="B44" s="20" t="s">
        <v>406</v>
      </c>
      <c r="C44" s="293"/>
      <c r="D44" s="293"/>
      <c r="E44" s="293"/>
      <c r="F44" s="148"/>
      <c r="G44" s="294"/>
      <c r="H44" s="294"/>
      <c r="I44" s="294"/>
      <c r="J44" s="294"/>
    </row>
    <row r="45" spans="1:2" ht="15.75">
      <c r="A45" s="20">
        <v>3</v>
      </c>
      <c r="B45" s="20" t="s">
        <v>407</v>
      </c>
    </row>
    <row r="46" spans="1:2" ht="15.75">
      <c r="A46" s="20">
        <v>4</v>
      </c>
      <c r="B46" s="20" t="s">
        <v>408</v>
      </c>
    </row>
    <row r="47" spans="1:2" ht="15.75">
      <c r="A47" s="20">
        <v>5</v>
      </c>
      <c r="B47" s="20" t="s">
        <v>347</v>
      </c>
    </row>
    <row r="48" spans="1:2" ht="15.75">
      <c r="A48" s="20">
        <v>6</v>
      </c>
      <c r="B48" s="20" t="s">
        <v>409</v>
      </c>
    </row>
  </sheetData>
  <sheetProtection/>
  <mergeCells count="15">
    <mergeCell ref="C11:D11"/>
    <mergeCell ref="A34:B34"/>
    <mergeCell ref="A36:B36"/>
    <mergeCell ref="A35:B35"/>
    <mergeCell ref="A29:B29"/>
    <mergeCell ref="A1:D1"/>
    <mergeCell ref="A6:D6"/>
    <mergeCell ref="A40:B40"/>
    <mergeCell ref="A39:B39"/>
    <mergeCell ref="A38:B38"/>
    <mergeCell ref="A37:B37"/>
    <mergeCell ref="A30:B30"/>
    <mergeCell ref="A31:B31"/>
    <mergeCell ref="A32:B32"/>
    <mergeCell ref="A33:B33"/>
  </mergeCells>
  <dataValidations count="2">
    <dataValidation type="list" allowBlank="1" showInputMessage="1" showErrorMessage="1" sqref="C29:C40">
      <formula1>YesNo</formula1>
    </dataValidation>
    <dataValidation type="list" allowBlank="1" showInputMessage="1" showErrorMessage="1" sqref="C14">
      <formula1>DetentionRetention</formula1>
    </dataValidation>
  </dataValidations>
  <printOptions/>
  <pageMargins left="0.7" right="0.7" top="0.75" bottom="0.75" header="0.3" footer="0.3"/>
  <pageSetup fitToHeight="1" fitToWidth="1" horizontalDpi="600" verticalDpi="600" orientation="portrait" scale="98" r:id="rId2"/>
  <headerFooter>
    <oddHeader>&amp;L&amp;G&amp;C&amp;"Garamond,Bold"&amp;14&amp;K009969Ohio Department of Transportation - Office of Hydraulic Engineering&amp;"Arial,Bold"&amp;10&amp;K000000
&amp;11Post-Construction BMP Calculation Spreadsheet</oddHeader>
    <oddFooter>&amp;RSpreadsheet Template
Updated January 2019</oddFoot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A1:K34"/>
  <sheetViews>
    <sheetView workbookViewId="0" topLeftCell="A1">
      <selection activeCell="A1" sqref="A1:D1"/>
    </sheetView>
  </sheetViews>
  <sheetFormatPr defaultColWidth="9.140625" defaultRowHeight="12.75"/>
  <cols>
    <col min="1" max="1" width="17.00390625" style="20" customWidth="1"/>
    <col min="2" max="6" width="22.140625" style="20" customWidth="1"/>
    <col min="7" max="8" width="22.140625" style="292" customWidth="1"/>
    <col min="9" max="16384" width="9.140625" style="20" customWidth="1"/>
  </cols>
  <sheetData>
    <row r="1" spans="1:8" ht="24" customHeight="1">
      <c r="A1" s="368" t="s">
        <v>11</v>
      </c>
      <c r="B1" s="368"/>
      <c r="C1" s="368"/>
      <c r="D1" s="368"/>
      <c r="E1" s="305"/>
      <c r="F1" s="305"/>
      <c r="G1" s="305"/>
      <c r="H1" s="305"/>
    </row>
    <row r="2" spans="1:8" ht="13.5" thickBot="1">
      <c r="A2" s="13"/>
      <c r="B2" s="13"/>
      <c r="C2" s="13"/>
      <c r="D2" s="13"/>
      <c r="E2" s="13"/>
      <c r="F2" s="13"/>
      <c r="G2" s="13"/>
      <c r="H2" s="13"/>
    </row>
    <row r="3" spans="1:8" ht="43.5" customHeight="1" thickBot="1">
      <c r="A3" s="256" t="s">
        <v>6</v>
      </c>
      <c r="B3" s="258" t="s">
        <v>94</v>
      </c>
      <c r="C3" s="258" t="s">
        <v>150</v>
      </c>
      <c r="D3" s="260" t="s">
        <v>188</v>
      </c>
      <c r="G3" s="20"/>
      <c r="H3" s="20"/>
    </row>
    <row r="4" spans="1:8" ht="13.5" thickTop="1">
      <c r="A4" s="91" t="s">
        <v>182</v>
      </c>
      <c r="B4" s="93">
        <v>14</v>
      </c>
      <c r="C4" s="93">
        <v>11.5</v>
      </c>
      <c r="D4" s="190">
        <v>12</v>
      </c>
      <c r="G4" s="20"/>
      <c r="H4" s="20"/>
    </row>
    <row r="5" spans="1:8" ht="12.75">
      <c r="A5" s="18" t="s">
        <v>183</v>
      </c>
      <c r="B5" s="94">
        <v>3</v>
      </c>
      <c r="C5" s="94">
        <v>2.6</v>
      </c>
      <c r="D5" s="191">
        <v>2.5</v>
      </c>
      <c r="G5" s="20"/>
      <c r="H5" s="20"/>
    </row>
    <row r="6" spans="1:8" ht="12.75">
      <c r="A6" s="18" t="s">
        <v>184</v>
      </c>
      <c r="B6" s="94">
        <v>0</v>
      </c>
      <c r="C6" s="94">
        <v>0</v>
      </c>
      <c r="D6" s="191">
        <v>0</v>
      </c>
      <c r="G6" s="20"/>
      <c r="H6" s="20"/>
    </row>
    <row r="7" spans="1:8" ht="12.75">
      <c r="A7" s="18" t="s">
        <v>185</v>
      </c>
      <c r="B7" s="94">
        <v>0</v>
      </c>
      <c r="C7" s="94">
        <v>0</v>
      </c>
      <c r="D7" s="191">
        <v>0</v>
      </c>
      <c r="G7" s="20"/>
      <c r="H7" s="20"/>
    </row>
    <row r="8" spans="1:8" ht="13.5" thickBot="1">
      <c r="A8" s="19" t="s">
        <v>186</v>
      </c>
      <c r="B8" s="95">
        <v>0</v>
      </c>
      <c r="C8" s="95">
        <v>0</v>
      </c>
      <c r="D8" s="192">
        <v>0</v>
      </c>
      <c r="G8" s="20"/>
      <c r="H8" s="20"/>
    </row>
    <row r="9" spans="1:8" ht="12.75">
      <c r="A9" s="293"/>
      <c r="B9" s="293"/>
      <c r="C9" s="293"/>
      <c r="D9" s="293"/>
      <c r="E9" s="293"/>
      <c r="F9" s="293"/>
      <c r="G9" s="294"/>
      <c r="H9" s="294"/>
    </row>
    <row r="10" spans="1:8" ht="14.25">
      <c r="A10" s="293"/>
      <c r="B10" s="293"/>
      <c r="C10" s="293"/>
      <c r="D10" s="108" t="s">
        <v>319</v>
      </c>
      <c r="E10" s="293"/>
      <c r="F10" s="293"/>
      <c r="G10" s="294"/>
      <c r="H10" s="294"/>
    </row>
    <row r="11" spans="1:9" ht="12.75">
      <c r="A11" s="293"/>
      <c r="B11" s="293"/>
      <c r="C11" s="107">
        <f>SUM(C4:C8)</f>
        <v>14.1</v>
      </c>
      <c r="D11" s="102" t="s">
        <v>99</v>
      </c>
      <c r="H11" s="109"/>
      <c r="I11" s="109"/>
    </row>
    <row r="12" spans="1:11" ht="12.75">
      <c r="A12" s="293"/>
      <c r="B12" s="293"/>
      <c r="C12" s="96" t="s">
        <v>151</v>
      </c>
      <c r="D12" s="293"/>
      <c r="G12" s="20"/>
      <c r="H12" s="20"/>
      <c r="J12" s="24"/>
      <c r="K12" s="24"/>
    </row>
    <row r="13" spans="1:11" ht="13.5" thickBot="1">
      <c r="A13" s="293"/>
      <c r="B13" s="293"/>
      <c r="C13" s="96"/>
      <c r="D13" s="293"/>
      <c r="G13" s="20"/>
      <c r="H13" s="20"/>
      <c r="J13" s="24"/>
      <c r="K13" s="24"/>
    </row>
    <row r="14" spans="1:8" ht="43.5" customHeight="1" thickBot="1">
      <c r="A14" s="2" t="s">
        <v>6</v>
      </c>
      <c r="B14" s="17" t="s">
        <v>219</v>
      </c>
      <c r="C14" s="87" t="s">
        <v>250</v>
      </c>
      <c r="D14" s="189" t="s">
        <v>251</v>
      </c>
      <c r="G14" s="20"/>
      <c r="H14" s="20"/>
    </row>
    <row r="15" spans="1:8" ht="13.5" thickTop="1">
      <c r="A15" s="186" t="str">
        <f>A4</f>
        <v>Bio. #1</v>
      </c>
      <c r="B15" s="124">
        <f>D4*0.05</f>
        <v>0.6000000000000001</v>
      </c>
      <c r="C15" s="93">
        <v>0.6</v>
      </c>
      <c r="D15" s="193" t="str">
        <f>IF(C15&lt;B15,"CHECK DESIGN","Good")</f>
        <v>Good</v>
      </c>
      <c r="G15" s="20"/>
      <c r="H15" s="20"/>
    </row>
    <row r="16" spans="1:8" ht="12.75">
      <c r="A16" s="187" t="str">
        <f>A5</f>
        <v>Bio. #2</v>
      </c>
      <c r="B16" s="125">
        <f>D5*0.05</f>
        <v>0.125</v>
      </c>
      <c r="C16" s="94">
        <v>0.15</v>
      </c>
      <c r="D16" s="193" t="str">
        <f>IF(C16&lt;B16,"CHECK DESIGN","Good")</f>
        <v>Good</v>
      </c>
      <c r="G16" s="20"/>
      <c r="H16" s="20"/>
    </row>
    <row r="17" spans="1:8" ht="12.75">
      <c r="A17" s="187" t="str">
        <f>A6</f>
        <v>Bio. #3</v>
      </c>
      <c r="B17" s="125">
        <f>D6*0.05</f>
        <v>0</v>
      </c>
      <c r="C17" s="94">
        <v>0</v>
      </c>
      <c r="D17" s="193" t="str">
        <f>IF(C17&lt;B17,"CHECK DESIGN","Good")</f>
        <v>Good</v>
      </c>
      <c r="G17" s="20"/>
      <c r="H17" s="20"/>
    </row>
    <row r="18" spans="1:8" ht="12.75">
      <c r="A18" s="187" t="str">
        <f>A7</f>
        <v>Bio. #4</v>
      </c>
      <c r="B18" s="125">
        <f>D7*0.05</f>
        <v>0</v>
      </c>
      <c r="C18" s="94">
        <v>0</v>
      </c>
      <c r="D18" s="193" t="str">
        <f>IF(C18&lt;B18,"CHECK DESIGN","Good")</f>
        <v>Good</v>
      </c>
      <c r="G18" s="20"/>
      <c r="H18" s="20"/>
    </row>
    <row r="19" spans="1:8" ht="13.5" thickBot="1">
      <c r="A19" s="188" t="str">
        <f>A8</f>
        <v>Bio. #5</v>
      </c>
      <c r="B19" s="126">
        <f>D8*0.05</f>
        <v>0</v>
      </c>
      <c r="C19" s="95">
        <v>0</v>
      </c>
      <c r="D19" s="194" t="str">
        <f>IF(C19&lt;B19,"CHECK DESIGN","Good")</f>
        <v>Good</v>
      </c>
      <c r="G19" s="20"/>
      <c r="H19" s="20"/>
    </row>
    <row r="20" spans="1:11" ht="12.75">
      <c r="A20" s="293"/>
      <c r="B20" s="293"/>
      <c r="C20" s="96"/>
      <c r="D20" s="293"/>
      <c r="G20" s="20"/>
      <c r="H20" s="20"/>
      <c r="J20" s="24"/>
      <c r="K20" s="24"/>
    </row>
    <row r="21" spans="1:11" ht="12.75">
      <c r="A21" s="369" t="s">
        <v>22</v>
      </c>
      <c r="B21" s="369"/>
      <c r="C21" s="369"/>
      <c r="D21" s="369"/>
      <c r="G21" s="20"/>
      <c r="H21" s="20"/>
      <c r="J21" s="24"/>
      <c r="K21" s="24"/>
    </row>
    <row r="22" spans="1:11" ht="12.75">
      <c r="A22" s="293"/>
      <c r="B22" s="293"/>
      <c r="C22" s="96"/>
      <c r="D22" s="293"/>
      <c r="G22" s="20"/>
      <c r="H22" s="20"/>
      <c r="J22" s="24"/>
      <c r="K22" s="24"/>
    </row>
    <row r="23" spans="1:8" ht="12.75">
      <c r="A23" s="71" t="s">
        <v>75</v>
      </c>
      <c r="B23" s="72"/>
      <c r="C23" s="295" t="s">
        <v>166</v>
      </c>
      <c r="D23" s="296" t="s">
        <v>167</v>
      </c>
      <c r="E23" s="72"/>
      <c r="F23" s="72"/>
      <c r="G23" s="72"/>
      <c r="H23" s="72"/>
    </row>
    <row r="24" spans="1:8" ht="25.5" customHeight="1">
      <c r="A24" s="389" t="s">
        <v>252</v>
      </c>
      <c r="B24" s="390"/>
      <c r="C24" s="178" t="s">
        <v>8</v>
      </c>
      <c r="D24" s="185" t="str">
        <f aca="true" t="shared" si="0" ref="D24:D29">IF(C24="Yes","Good","CHECK DESIGN")</f>
        <v>Good</v>
      </c>
      <c r="G24" s="20"/>
      <c r="H24" s="20"/>
    </row>
    <row r="25" spans="1:8" ht="25.5" customHeight="1">
      <c r="A25" s="389" t="s">
        <v>410</v>
      </c>
      <c r="B25" s="390"/>
      <c r="C25" s="178" t="s">
        <v>8</v>
      </c>
      <c r="D25" s="185" t="str">
        <f t="shared" si="0"/>
        <v>Good</v>
      </c>
      <c r="G25" s="20"/>
      <c r="H25" s="20"/>
    </row>
    <row r="26" spans="1:8" ht="25.5" customHeight="1">
      <c r="A26" s="389" t="s">
        <v>253</v>
      </c>
      <c r="B26" s="390"/>
      <c r="C26" s="178" t="s">
        <v>8</v>
      </c>
      <c r="D26" s="185" t="str">
        <f t="shared" si="0"/>
        <v>Good</v>
      </c>
      <c r="G26" s="20"/>
      <c r="H26" s="20"/>
    </row>
    <row r="27" spans="1:8" ht="25.5" customHeight="1">
      <c r="A27" s="389" t="s">
        <v>254</v>
      </c>
      <c r="B27" s="390"/>
      <c r="C27" s="178" t="s">
        <v>8</v>
      </c>
      <c r="D27" s="185" t="str">
        <f t="shared" si="0"/>
        <v>Good</v>
      </c>
      <c r="G27" s="20"/>
      <c r="H27" s="20"/>
    </row>
    <row r="28" spans="1:8" ht="38.25" customHeight="1">
      <c r="A28" s="389" t="s">
        <v>255</v>
      </c>
      <c r="B28" s="390"/>
      <c r="C28" s="178" t="s">
        <v>8</v>
      </c>
      <c r="D28" s="185" t="str">
        <f t="shared" si="0"/>
        <v>Good</v>
      </c>
      <c r="G28" s="20"/>
      <c r="H28" s="20"/>
    </row>
    <row r="29" spans="1:8" ht="25.5" customHeight="1">
      <c r="A29" s="389" t="s">
        <v>256</v>
      </c>
      <c r="B29" s="390"/>
      <c r="C29" s="178" t="s">
        <v>8</v>
      </c>
      <c r="D29" s="185" t="str">
        <f t="shared" si="0"/>
        <v>Good</v>
      </c>
      <c r="G29" s="20"/>
      <c r="H29" s="20"/>
    </row>
    <row r="32" spans="1:11" ht="12.75">
      <c r="A32" s="96" t="s">
        <v>23</v>
      </c>
      <c r="B32" s="293"/>
      <c r="C32" s="293"/>
      <c r="D32" s="293"/>
      <c r="E32" s="96"/>
      <c r="G32" s="20"/>
      <c r="H32" s="20"/>
      <c r="J32" s="24"/>
      <c r="K32" s="24"/>
    </row>
    <row r="33" spans="1:11" ht="12.75">
      <c r="A33" s="96">
        <v>1</v>
      </c>
      <c r="B33" s="88" t="s">
        <v>90</v>
      </c>
      <c r="C33" s="293"/>
      <c r="D33" s="293"/>
      <c r="E33" s="96"/>
      <c r="G33" s="20"/>
      <c r="H33" s="20"/>
      <c r="J33" s="24"/>
      <c r="K33" s="24"/>
    </row>
    <row r="34" spans="1:11" ht="12.75">
      <c r="A34" s="96">
        <v>2</v>
      </c>
      <c r="B34" s="20" t="s">
        <v>187</v>
      </c>
      <c r="C34" s="293"/>
      <c r="D34" s="293"/>
      <c r="E34" s="96"/>
      <c r="G34" s="20"/>
      <c r="H34" s="20"/>
      <c r="J34" s="24"/>
      <c r="K34" s="24"/>
    </row>
  </sheetData>
  <sheetProtection/>
  <mergeCells count="8">
    <mergeCell ref="A25:B25"/>
    <mergeCell ref="A24:B24"/>
    <mergeCell ref="A1:D1"/>
    <mergeCell ref="A29:B29"/>
    <mergeCell ref="A28:B28"/>
    <mergeCell ref="A27:B27"/>
    <mergeCell ref="A26:B26"/>
    <mergeCell ref="A21:D21"/>
  </mergeCells>
  <dataValidations count="1">
    <dataValidation type="list" allowBlank="1" showInputMessage="1" showErrorMessage="1" sqref="C24:C29">
      <formula1>YesNo</formula1>
    </dataValidation>
  </dataValidations>
  <printOptions/>
  <pageMargins left="0.7" right="0.7" top="0.75" bottom="0.75" header="0.3" footer="0.3"/>
  <pageSetup fitToHeight="1" fitToWidth="1" horizontalDpi="600" verticalDpi="600" orientation="portrait" r:id="rId2"/>
  <headerFooter>
    <oddHeader>&amp;L&amp;G&amp;C&amp;"Garamond,Bold"&amp;14&amp;K009969Ohio Department of Transportation - Office of Hydraulic Engineering&amp;"Arial,Bold"&amp;10&amp;K000000
&amp;11Post-Construction BMP Calculation Spreadsheet</oddHeader>
    <oddFooter>&amp;RSpreadsheet Template
Updated January 2019</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Ohio 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BMP Calculation Spreadsheet</dc:title>
  <dc:subject/>
  <dc:creator>mwawszki</dc:creator>
  <cp:keywords/>
  <dc:description/>
  <cp:lastModifiedBy>Jonathan Prier</cp:lastModifiedBy>
  <cp:lastPrinted>2019-01-11T15:21:50Z</cp:lastPrinted>
  <dcterms:created xsi:type="dcterms:W3CDTF">2008-02-13T18:38:08Z</dcterms:created>
  <dcterms:modified xsi:type="dcterms:W3CDTF">2019-01-11T15:30:02Z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ategory">
    <vt:lpwstr>bmp</vt:lpwstr>
  </property>
  <property fmtid="{D5CDD505-2E9C-101B-9397-08002B2CF9AE}" pid="3" name="ContentType">
    <vt:lpwstr>Document</vt:lpwstr>
  </property>
  <property fmtid="{D5CDD505-2E9C-101B-9397-08002B2CF9AE}" pid="4" name="Comments">
    <vt:lpwstr>While calculations for post-construction BMPs are needed, the use of this spreadsheet is not required.  Hand calculations or custom spreadsheets are acceptable.</vt:lpwstr>
  </property>
  <property fmtid="{D5CDD505-2E9C-101B-9397-08002B2CF9AE}" pid="5" name="Subcategory1">
    <vt:lpwstr>Guidance</vt:lpwstr>
  </property>
  <property fmtid="{D5CDD505-2E9C-101B-9397-08002B2CF9AE}" pid="6" name="Order">
    <vt:lpwstr>102600.000000000</vt:lpwstr>
  </property>
  <property fmtid="{D5CDD505-2E9C-101B-9397-08002B2CF9AE}" pid="7" name="Sequence">
    <vt:lpwstr>2.00000000000000</vt:lpwstr>
  </property>
  <property fmtid="{D5CDD505-2E9C-101B-9397-08002B2CF9AE}" pid="8" name="Release Date">
    <vt:lpwstr>2019-01-18T00:00:00Z</vt:lpwstr>
  </property>
  <property fmtid="{D5CDD505-2E9C-101B-9397-08002B2CF9AE}" pid="9" name="display_urn:schemas-microsoft-com:office:office#Editor">
    <vt:lpwstr>Michael Wawszkiewicz</vt:lpwstr>
  </property>
  <property fmtid="{D5CDD505-2E9C-101B-9397-08002B2CF9AE}" pid="10" name="xd_Signature">
    <vt:lpwstr/>
  </property>
  <property fmtid="{D5CDD505-2E9C-101B-9397-08002B2CF9AE}" pid="11" name="TemplateUrl">
    <vt:lpwstr/>
  </property>
  <property fmtid="{D5CDD505-2E9C-101B-9397-08002B2CF9AE}" pid="12" name="xd_ProgID">
    <vt:lpwstr/>
  </property>
  <property fmtid="{D5CDD505-2E9C-101B-9397-08002B2CF9AE}" pid="13" name="display_urn:schemas-microsoft-com:office:office#Author">
    <vt:lpwstr>Michael Wawszkiewicz</vt:lpwstr>
  </property>
  <property fmtid="{D5CDD505-2E9C-101B-9397-08002B2CF9AE}" pid="14" name="ContentTypeId">
    <vt:lpwstr>0x010100D3F10044198C7E4FAD77EBBA2B7BF303</vt:lpwstr>
  </property>
  <property fmtid="{D5CDD505-2E9C-101B-9397-08002B2CF9AE}" pid="15" name="_SourceUrl">
    <vt:lpwstr/>
  </property>
  <property fmtid="{D5CDD505-2E9C-101B-9397-08002B2CF9AE}" pid="16" name="_SharedFileIndex">
    <vt:lpwstr/>
  </property>
</Properties>
</file>